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1"/>
  </bookViews>
  <sheets>
    <sheet name="MB" sheetId="1" r:id="rId1"/>
    <sheet name="Entalpi" sheetId="2" r:id="rId2"/>
    <sheet name="Kompressor" sheetId="3" r:id="rId3"/>
    <sheet name="Reaksjoner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<sst xmlns="http://schemas.openxmlformats.org/spreadsheetml/2006/main" count="575" uniqueCount="191">
  <si>
    <t>CO2</t>
  </si>
  <si>
    <t>CO</t>
  </si>
  <si>
    <t>H2</t>
  </si>
  <si>
    <t>CH4</t>
  </si>
  <si>
    <t>N2</t>
  </si>
  <si>
    <t>Ar</t>
  </si>
  <si>
    <t>H2O</t>
  </si>
  <si>
    <t>CH3OH</t>
  </si>
  <si>
    <t>F1</t>
  </si>
  <si>
    <t>F6</t>
  </si>
  <si>
    <t>F7</t>
  </si>
  <si>
    <t>Fraksjon</t>
  </si>
  <si>
    <t>SN</t>
  </si>
  <si>
    <t>x1</t>
  </si>
  <si>
    <t>x2</t>
  </si>
  <si>
    <t>Likevektskonstant</t>
  </si>
  <si>
    <t>*100%</t>
  </si>
  <si>
    <t>a</t>
  </si>
  <si>
    <t>b</t>
  </si>
  <si>
    <t>c</t>
  </si>
  <si>
    <t>ut reaktor</t>
  </si>
  <si>
    <t>inn reaktor</t>
  </si>
  <si>
    <t>purge</t>
  </si>
  <si>
    <t>væske ut</t>
  </si>
  <si>
    <t>Inerter resirkulert</t>
  </si>
  <si>
    <t>Reaksjonsomfang</t>
  </si>
  <si>
    <t>Hjelpefunksjoner</t>
  </si>
  <si>
    <t>resirkulert</t>
  </si>
  <si>
    <t>Inerter inn på reaktor</t>
  </si>
  <si>
    <t>metanol</t>
  </si>
  <si>
    <t>A</t>
  </si>
  <si>
    <t>B</t>
  </si>
  <si>
    <t>C</t>
  </si>
  <si>
    <t>D</t>
  </si>
  <si>
    <t>E</t>
  </si>
  <si>
    <t>vann</t>
  </si>
  <si>
    <t>F8</t>
  </si>
  <si>
    <t>Partialtrykk metanol</t>
  </si>
  <si>
    <t>log P</t>
  </si>
  <si>
    <t>Partialtrykk vann</t>
  </si>
  <si>
    <t>Temp (K)</t>
  </si>
  <si>
    <t>F10</t>
  </si>
  <si>
    <t>F11</t>
  </si>
  <si>
    <t>Fraksjon y</t>
  </si>
  <si>
    <t>Fraksjon x</t>
  </si>
  <si>
    <t>P mmHg</t>
  </si>
  <si>
    <t>CH4 g</t>
  </si>
  <si>
    <t>CO g</t>
  </si>
  <si>
    <t>CO2 g</t>
  </si>
  <si>
    <t>Ar g</t>
  </si>
  <si>
    <t>H2 g</t>
  </si>
  <si>
    <t>N2 g</t>
  </si>
  <si>
    <t>CH3OH g</t>
  </si>
  <si>
    <t>CH3OH l</t>
  </si>
  <si>
    <t>H2O g</t>
  </si>
  <si>
    <t>H2O l</t>
  </si>
  <si>
    <t>VV1</t>
  </si>
  <si>
    <t>VV2</t>
  </si>
  <si>
    <t>VV3</t>
  </si>
  <si>
    <t>P bar</t>
  </si>
  <si>
    <t>F4</t>
  </si>
  <si>
    <t>F5</t>
  </si>
  <si>
    <t>F13</t>
  </si>
  <si>
    <t>F6,l</t>
  </si>
  <si>
    <t>F6,g</t>
  </si>
  <si>
    <t>F6,tot</t>
  </si>
  <si>
    <t>F7,l</t>
  </si>
  <si>
    <t>F7,g</t>
  </si>
  <si>
    <t>Ptot (bar)</t>
  </si>
  <si>
    <t>T varm inn</t>
  </si>
  <si>
    <t>T varm ut</t>
  </si>
  <si>
    <t>T kald inn</t>
  </si>
  <si>
    <t>T kald ut</t>
  </si>
  <si>
    <t>Tm</t>
  </si>
  <si>
    <t>Q varm side (J/s)</t>
  </si>
  <si>
    <t>Q kald side (J/s)</t>
  </si>
  <si>
    <t>Flow kjølevann (mol/s)</t>
  </si>
  <si>
    <t>UA (J/s K)</t>
  </si>
  <si>
    <t>H</t>
  </si>
  <si>
    <t>Q</t>
  </si>
  <si>
    <t>W</t>
  </si>
  <si>
    <t>Cp=A+BT+CT^2+DT^3+ET^4</t>
  </si>
  <si>
    <t>K</t>
  </si>
  <si>
    <t>TMIN</t>
  </si>
  <si>
    <t>TMAX</t>
  </si>
  <si>
    <t>Cp,[J/mol K]</t>
  </si>
  <si>
    <t>fraksjon</t>
  </si>
  <si>
    <t>Hf @ 298 kJ/mol</t>
  </si>
  <si>
    <t>int(Cp)dT J/mol K</t>
  </si>
  <si>
    <t>Sum</t>
  </si>
  <si>
    <t>F2</t>
  </si>
  <si>
    <t>Temperatur</t>
  </si>
  <si>
    <t>F3</t>
  </si>
  <si>
    <t>rx1: CO + 2 H2 = CH3OH</t>
  </si>
  <si>
    <t>rx2: CO2 + 3 H2 = CH3OH + H2O</t>
  </si>
  <si>
    <t>delta Hrx (kJ/mol)</t>
  </si>
  <si>
    <t>Dannet rxvarme i reaktor: (J/h)</t>
  </si>
  <si>
    <t>Kjøling i reaktor: (J/h)</t>
  </si>
  <si>
    <t>Differanse entalpi F5-F4 (J/h)</t>
  </si>
  <si>
    <t>Nødv.kjølevann reaktor:(tonn/h)</t>
  </si>
  <si>
    <t>Fordampn.varme v/245 C (kJ/mol)</t>
  </si>
  <si>
    <t>Væske</t>
  </si>
  <si>
    <t>F6, gass</t>
  </si>
  <si>
    <t>F7, gass</t>
  </si>
  <si>
    <t>F12</t>
  </si>
  <si>
    <t>F8(gass), F9, F10, F11</t>
  </si>
  <si>
    <t>(antar at alt vannet fordampes)</t>
  </si>
  <si>
    <t>(shiftreaksjon)</t>
  </si>
  <si>
    <t>Metanol ut (F5)</t>
  </si>
  <si>
    <t>Metanolsløyfen, Tjeldbergodden</t>
  </si>
  <si>
    <t>Kompressor 1</t>
  </si>
  <si>
    <t>Kompressor 2</t>
  </si>
  <si>
    <t>Flow kmol/h</t>
  </si>
  <si>
    <t>M (g/mol)</t>
  </si>
  <si>
    <t>INN</t>
  </si>
  <si>
    <t>Trykk</t>
  </si>
  <si>
    <t>barg</t>
  </si>
  <si>
    <t>Pa</t>
  </si>
  <si>
    <t>Tetthet</t>
  </si>
  <si>
    <t>kg/m^3</t>
  </si>
  <si>
    <t>UT</t>
  </si>
  <si>
    <t>Sammenheng mellom trykk og tetthet:</t>
  </si>
  <si>
    <t>n</t>
  </si>
  <si>
    <t>Overall mechanical efficiency:</t>
  </si>
  <si>
    <t>h</t>
  </si>
  <si>
    <t>Work of compression of an ideal frictionless gas:</t>
  </si>
  <si>
    <t>Wpr</t>
  </si>
  <si>
    <t>J/Kg</t>
  </si>
  <si>
    <t>J/mol</t>
  </si>
  <si>
    <t>Brake power:</t>
  </si>
  <si>
    <t>H (J/mol)</t>
  </si>
  <si>
    <t>reaktor, ut</t>
  </si>
  <si>
    <t>Rx I</t>
  </si>
  <si>
    <t>Rx II</t>
  </si>
  <si>
    <t>Rx III</t>
  </si>
  <si>
    <t>Shift</t>
  </si>
  <si>
    <t>Barg</t>
  </si>
  <si>
    <t>(kW)</t>
  </si>
  <si>
    <t>F6, væske</t>
  </si>
  <si>
    <t>Hf @ 298 J/mol</t>
  </si>
  <si>
    <t>Flow (kmol/h)</t>
  </si>
  <si>
    <t>Flow l (kmol/h)</t>
  </si>
  <si>
    <t>Flow g (kmol/h)</t>
  </si>
  <si>
    <t>Flow tot (kmol/h)</t>
  </si>
  <si>
    <t>væske</t>
  </si>
  <si>
    <t>gass</t>
  </si>
  <si>
    <t>total</t>
  </si>
  <si>
    <t>F7, væske</t>
  </si>
  <si>
    <t>H=integral (Cp(T))dt= AT+0.5BT^2+0.33*CT^3+0.25*DT^4+0.2ET^5</t>
  </si>
  <si>
    <t>Midlere Cp-verdi</t>
  </si>
  <si>
    <t>Varm side VV1</t>
  </si>
  <si>
    <t>Kald side VV1</t>
  </si>
  <si>
    <t>Varm side VV2</t>
  </si>
  <si>
    <t>Kald side VV2</t>
  </si>
  <si>
    <t>Varm side VV3</t>
  </si>
  <si>
    <t>Kald side VV3</t>
  </si>
  <si>
    <t>UA VV1 (kJ/Kh)</t>
  </si>
  <si>
    <t>UA VV2 (kJ/Kh)</t>
  </si>
  <si>
    <t>UA VV3 (kJ/Kh)</t>
  </si>
  <si>
    <t>Flow tot</t>
  </si>
  <si>
    <t>Cp, varm (J/mol K)</t>
  </si>
  <si>
    <t>Cp, kald (J/mol K)</t>
  </si>
  <si>
    <t>Omsetning</t>
  </si>
  <si>
    <t>F9</t>
  </si>
  <si>
    <t>Splitt (purge)</t>
  </si>
  <si>
    <t>F8(væske), F13</t>
  </si>
  <si>
    <t>Gass</t>
  </si>
  <si>
    <t>frisk føde</t>
  </si>
  <si>
    <t>Kondensasjonsvarme ved kokepunkt</t>
  </si>
  <si>
    <t>Kokepunkt (K) H2O</t>
  </si>
  <si>
    <t>Kokepunkt (K) CH3OH</t>
  </si>
  <si>
    <t>Midlere temperatur over VV1</t>
  </si>
  <si>
    <t>Midlere temperatur over VV2</t>
  </si>
  <si>
    <t>Midlere temperatur over VV3</t>
  </si>
  <si>
    <t>Kondensasjonsvarme ved T</t>
  </si>
  <si>
    <r>
      <t>D</t>
    </r>
    <r>
      <rPr>
        <sz val="10"/>
        <rFont val="Times New Roman"/>
        <family val="1"/>
      </rPr>
      <t>H_vap (kJ/mol)</t>
    </r>
  </si>
  <si>
    <r>
      <t>DH_</t>
    </r>
    <r>
      <rPr>
        <sz val="10"/>
        <rFont val="Times New Roman"/>
        <family val="1"/>
      </rPr>
      <t>vap (kJ/mol</t>
    </r>
    <r>
      <rPr>
        <sz val="10"/>
        <rFont val="Symbol"/>
        <family val="1"/>
      </rPr>
      <t xml:space="preserve">) </t>
    </r>
    <r>
      <rPr>
        <sz val="10"/>
        <rFont val="Times New Roman"/>
        <family val="1"/>
      </rPr>
      <t>VV1</t>
    </r>
  </si>
  <si>
    <r>
      <t>DH_</t>
    </r>
    <r>
      <rPr>
        <sz val="10"/>
        <rFont val="Times New Roman"/>
        <family val="1"/>
      </rPr>
      <t>vap (kJ/mol</t>
    </r>
    <r>
      <rPr>
        <sz val="10"/>
        <rFont val="Symbol"/>
        <family val="1"/>
      </rPr>
      <t xml:space="preserve">) </t>
    </r>
    <r>
      <rPr>
        <sz val="10"/>
        <rFont val="Times New Roman"/>
        <family val="1"/>
      </rPr>
      <t>VV2</t>
    </r>
  </si>
  <si>
    <r>
      <t>DH_</t>
    </r>
    <r>
      <rPr>
        <sz val="10"/>
        <rFont val="Times New Roman"/>
        <family val="1"/>
      </rPr>
      <t>vap (kJ/mol</t>
    </r>
    <r>
      <rPr>
        <sz val="10"/>
        <rFont val="Symbol"/>
        <family val="1"/>
      </rPr>
      <t xml:space="preserve">) </t>
    </r>
    <r>
      <rPr>
        <sz val="10"/>
        <rFont val="Times New Roman"/>
        <family val="1"/>
      </rPr>
      <t>VV3</t>
    </r>
  </si>
  <si>
    <t>midlere</t>
  </si>
  <si>
    <t>F5 (255)</t>
  </si>
  <si>
    <t>F5 (118)</t>
  </si>
  <si>
    <t>F6 (118)</t>
  </si>
  <si>
    <t>F6 (110)</t>
  </si>
  <si>
    <t>F7 (110)</t>
  </si>
  <si>
    <t>F7 (35)</t>
  </si>
  <si>
    <t>Cp (J/mol K)</t>
  </si>
  <si>
    <t>(tonn/h)</t>
  </si>
  <si>
    <t xml:space="preserve">KjølevannVV2 </t>
  </si>
  <si>
    <t>KjølevannVV3</t>
  </si>
  <si>
    <t>Energistrøm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</si>
</sst>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E+00"/>
    <numFmt numFmtId="179" formatCode="0.0000E+00;\ൔ"/>
    <numFmt numFmtId="180" formatCode="0.0000E+00;\ĝ"/>
    <numFmt numFmtId="181" formatCode="0.000E+00"/>
    <numFmt numFmtId="182" formatCode="0.00000000"/>
  </numFmts>
  <fonts count="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  <xf numFmtId="176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0" fillId="0" borderId="4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77" fontId="0" fillId="0" borderId="0" xfId="0" applyNumberFormat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177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Alignment="1">
      <alignment/>
    </xf>
    <xf numFmtId="2" fontId="0" fillId="0" borderId="5" xfId="0" applyNumberFormat="1" applyBorder="1" applyAlignment="1">
      <alignment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177" fontId="0" fillId="3" borderId="0" xfId="0" applyNumberFormat="1" applyFill="1" applyBorder="1" applyAlignment="1">
      <alignment/>
    </xf>
    <xf numFmtId="0" fontId="0" fillId="0" borderId="9" xfId="0" applyFill="1" applyBorder="1" applyAlignment="1">
      <alignment/>
    </xf>
    <xf numFmtId="181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77" fontId="0" fillId="0" borderId="7" xfId="0" applyNumberFormat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3" borderId="10" xfId="0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Entalpiforløp i metanolsyntesen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MB!$D$39:$D$51</c:f>
              <c:strCache/>
            </c:strRef>
          </c:xVal>
          <c:yVal>
            <c:numRef>
              <c:f>MB!$E$39:$E$51</c:f>
              <c:numCache>
                <c:ptCount val="13"/>
                <c:pt idx="0">
                  <c:v>-176811.52104542905</c:v>
                </c:pt>
                <c:pt idx="1">
                  <c:v>-173286.72322709713</c:v>
                </c:pt>
                <c:pt idx="2">
                  <c:v>-609847.9253891874</c:v>
                </c:pt>
                <c:pt idx="3">
                  <c:v>-587456.9811654383</c:v>
                </c:pt>
                <c:pt idx="4">
                  <c:v>-646945.5846927484</c:v>
                </c:pt>
                <c:pt idx="5">
                  <c:v>-672681.6419054731</c:v>
                </c:pt>
                <c:pt idx="6">
                  <c:v>-681401.3128488968</c:v>
                </c:pt>
                <c:pt idx="7">
                  <c:v>-726702.3946770909</c:v>
                </c:pt>
                <c:pt idx="8">
                  <c:v>-446525.9573074256</c:v>
                </c:pt>
                <c:pt idx="9">
                  <c:v>-9823.571060763363</c:v>
                </c:pt>
                <c:pt idx="10">
                  <c:v>-436702.3862466623</c:v>
                </c:pt>
                <c:pt idx="11">
                  <c:v>-434733.88649190404</c:v>
                </c:pt>
                <c:pt idx="12">
                  <c:v>-280176.43736966525</c:v>
                </c:pt>
              </c:numCache>
            </c:numRef>
          </c:yVal>
          <c:smooth val="1"/>
        </c:ser>
        <c:axId val="280044"/>
        <c:axId val="2520397"/>
      </c:scatterChart>
      <c:val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</c:valAx>
      <c:valAx>
        <c:axId val="252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"/>
          <c:w val="0.8305"/>
          <c:h val="0.95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MB!$D$39:$D$51</c:f>
              <c:strCache/>
            </c:strRef>
          </c:xVal>
          <c:yVal>
            <c:numRef>
              <c:f>MB!$F$39:$F$51</c:f>
              <c:numCache>
                <c:ptCount val="13"/>
                <c:pt idx="0">
                  <c:v>-56832.274621745055</c:v>
                </c:pt>
                <c:pt idx="1">
                  <c:v>-55699.303894424076</c:v>
                </c:pt>
                <c:pt idx="2">
                  <c:v>-44336.43419431757</c:v>
                </c:pt>
                <c:pt idx="3">
                  <c:v>-42708.594557917495</c:v>
                </c:pt>
                <c:pt idx="4">
                  <c:v>-53900.34955376787</c:v>
                </c:pt>
                <c:pt idx="5">
                  <c:v>-314637.6366252311</c:v>
                </c:pt>
                <c:pt idx="6">
                  <c:v>-307278.4925175669</c:v>
                </c:pt>
                <c:pt idx="7">
                  <c:v>-291343.55671446194</c:v>
                </c:pt>
                <c:pt idx="8">
                  <c:v>-41028.437832389565</c:v>
                </c:pt>
                <c:pt idx="9">
                  <c:v>-41028.437832389565</c:v>
                </c:pt>
                <c:pt idx="10">
                  <c:v>-41028.437832389565</c:v>
                </c:pt>
                <c:pt idx="11">
                  <c:v>-40843.49615962858</c:v>
                </c:pt>
                <c:pt idx="12">
                  <c:v>-250315.1188820724</c:v>
                </c:pt>
              </c:numCache>
            </c:numRef>
          </c:yVal>
          <c:smooth val="1"/>
        </c:ser>
        <c:axId val="22683574"/>
        <c:axId val="2825575"/>
      </c:scatterChart>
      <c:val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</c:valAx>
      <c:valAx>
        <c:axId val="2825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39</xdr:row>
      <xdr:rowOff>9525</xdr:rowOff>
    </xdr:from>
    <xdr:to>
      <xdr:col>24</xdr:col>
      <xdr:colOff>180975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11553825" y="6391275"/>
        <a:ext cx="6248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63</xdr:row>
      <xdr:rowOff>28575</xdr:rowOff>
    </xdr:from>
    <xdr:to>
      <xdr:col>24</xdr:col>
      <xdr:colOff>190500</xdr:colOff>
      <xdr:row>97</xdr:row>
      <xdr:rowOff>85725</xdr:rowOff>
    </xdr:to>
    <xdr:graphicFrame>
      <xdr:nvGraphicFramePr>
        <xdr:cNvPr id="2" name="Chart 2"/>
        <xdr:cNvGraphicFramePr/>
      </xdr:nvGraphicFramePr>
      <xdr:xfrm>
        <a:off x="11572875" y="10296525"/>
        <a:ext cx="62388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4"/>
  <sheetViews>
    <sheetView zoomScale="75" zoomScaleNormal="75" workbookViewId="0" topLeftCell="A1">
      <selection activeCell="V19" sqref="V19"/>
    </sheetView>
  </sheetViews>
  <sheetFormatPr defaultColWidth="9.140625" defaultRowHeight="12.75"/>
  <cols>
    <col min="1" max="1" width="24.8515625" style="0" customWidth="1"/>
    <col min="2" max="2" width="12.57421875" style="0" bestFit="1" customWidth="1"/>
    <col min="3" max="3" width="10.00390625" style="0" bestFit="1" customWidth="1"/>
    <col min="4" max="4" width="13.140625" style="0" bestFit="1" customWidth="1"/>
    <col min="5" max="6" width="13.00390625" style="0" customWidth="1"/>
    <col min="7" max="7" width="13.28125" style="0" customWidth="1"/>
    <col min="8" max="8" width="13.00390625" style="0" customWidth="1"/>
    <col min="9" max="9" width="12.00390625" style="0" customWidth="1"/>
    <col min="10" max="10" width="10.00390625" style="0" customWidth="1"/>
    <col min="11" max="12" width="9.57421875" style="0" customWidth="1"/>
    <col min="18" max="18" width="9.7109375" style="0" bestFit="1" customWidth="1"/>
  </cols>
  <sheetData>
    <row r="1" ht="18">
      <c r="A1" s="60" t="s">
        <v>109</v>
      </c>
    </row>
    <row r="2" spans="3:37" ht="12.75">
      <c r="C2" t="s">
        <v>167</v>
      </c>
      <c r="I2" t="s">
        <v>21</v>
      </c>
      <c r="K2" t="s">
        <v>20</v>
      </c>
      <c r="M2" s="23"/>
      <c r="N2" s="23"/>
      <c r="O2" s="23"/>
      <c r="P2" s="23"/>
      <c r="Q2" s="23"/>
      <c r="R2" s="23"/>
      <c r="S2" s="23"/>
      <c r="T2" s="23"/>
      <c r="U2" s="23"/>
      <c r="V2" s="23"/>
      <c r="X2" s="23"/>
      <c r="AD2" t="s">
        <v>22</v>
      </c>
      <c r="AF2" t="s">
        <v>27</v>
      </c>
      <c r="AJ2" s="23" t="s">
        <v>23</v>
      </c>
      <c r="AK2" s="23"/>
    </row>
    <row r="3" spans="3:37" ht="12.75">
      <c r="C3" s="92" t="s">
        <v>8</v>
      </c>
      <c r="D3" s="93"/>
      <c r="E3" s="92" t="s">
        <v>90</v>
      </c>
      <c r="F3" s="93"/>
      <c r="G3" s="94" t="s">
        <v>92</v>
      </c>
      <c r="H3" s="93"/>
      <c r="I3" s="92" t="s">
        <v>60</v>
      </c>
      <c r="J3" s="93"/>
      <c r="K3" s="66" t="s">
        <v>61</v>
      </c>
      <c r="L3" s="68"/>
      <c r="M3" s="92" t="s">
        <v>9</v>
      </c>
      <c r="N3" s="94"/>
      <c r="O3" s="94"/>
      <c r="P3" s="94"/>
      <c r="Q3" s="93"/>
      <c r="R3" s="92" t="s">
        <v>10</v>
      </c>
      <c r="S3" s="94"/>
      <c r="T3" s="94"/>
      <c r="U3" s="94"/>
      <c r="V3" s="93"/>
      <c r="W3" s="92" t="s">
        <v>36</v>
      </c>
      <c r="X3" s="94"/>
      <c r="Y3" s="94"/>
      <c r="Z3" s="94"/>
      <c r="AA3" s="67"/>
      <c r="AB3" s="92" t="s">
        <v>163</v>
      </c>
      <c r="AC3" s="93"/>
      <c r="AD3" s="66" t="s">
        <v>41</v>
      </c>
      <c r="AE3" s="67"/>
      <c r="AF3" s="92" t="s">
        <v>42</v>
      </c>
      <c r="AG3" s="93"/>
      <c r="AH3" s="92" t="s">
        <v>104</v>
      </c>
      <c r="AI3" s="93"/>
      <c r="AJ3" s="92" t="s">
        <v>62</v>
      </c>
      <c r="AK3" s="93"/>
    </row>
    <row r="4" spans="3:37" ht="12.75">
      <c r="C4" s="69" t="s">
        <v>11</v>
      </c>
      <c r="D4" s="70" t="s">
        <v>140</v>
      </c>
      <c r="E4" s="52" t="s">
        <v>11</v>
      </c>
      <c r="F4" s="70" t="s">
        <v>140</v>
      </c>
      <c r="G4" s="52" t="s">
        <v>11</v>
      </c>
      <c r="H4" s="70" t="s">
        <v>140</v>
      </c>
      <c r="I4" s="69" t="s">
        <v>11</v>
      </c>
      <c r="J4" s="70" t="s">
        <v>140</v>
      </c>
      <c r="K4" s="69" t="s">
        <v>11</v>
      </c>
      <c r="L4" s="70" t="s">
        <v>140</v>
      </c>
      <c r="M4" s="69" t="s">
        <v>44</v>
      </c>
      <c r="N4" s="52" t="s">
        <v>141</v>
      </c>
      <c r="O4" s="52" t="s">
        <v>43</v>
      </c>
      <c r="P4" s="52" t="s">
        <v>142</v>
      </c>
      <c r="Q4" s="70" t="s">
        <v>143</v>
      </c>
      <c r="R4" s="52" t="s">
        <v>44</v>
      </c>
      <c r="S4" s="52" t="s">
        <v>141</v>
      </c>
      <c r="T4" s="52" t="s">
        <v>43</v>
      </c>
      <c r="U4" s="52" t="s">
        <v>142</v>
      </c>
      <c r="V4" s="70" t="s">
        <v>143</v>
      </c>
      <c r="W4" s="69" t="s">
        <v>44</v>
      </c>
      <c r="X4" s="52" t="s">
        <v>141</v>
      </c>
      <c r="Y4" s="52" t="s">
        <v>43</v>
      </c>
      <c r="Z4" s="52" t="s">
        <v>142</v>
      </c>
      <c r="AA4" s="70" t="s">
        <v>159</v>
      </c>
      <c r="AB4" s="52" t="s">
        <v>11</v>
      </c>
      <c r="AC4" s="52" t="s">
        <v>140</v>
      </c>
      <c r="AD4" s="69" t="s">
        <v>11</v>
      </c>
      <c r="AE4" s="70" t="s">
        <v>140</v>
      </c>
      <c r="AF4" s="69" t="s">
        <v>11</v>
      </c>
      <c r="AG4" s="70" t="s">
        <v>140</v>
      </c>
      <c r="AH4" s="52" t="s">
        <v>11</v>
      </c>
      <c r="AI4" s="52" t="s">
        <v>140</v>
      </c>
      <c r="AJ4" s="69" t="s">
        <v>11</v>
      </c>
      <c r="AK4" s="70" t="s">
        <v>140</v>
      </c>
    </row>
    <row r="5" spans="2:37" ht="12.75">
      <c r="B5" t="s">
        <v>0</v>
      </c>
      <c r="C5" s="1">
        <f>8.2/100</f>
        <v>0.08199999999999999</v>
      </c>
      <c r="D5" s="2">
        <f>C5*D$13</f>
        <v>918.3999999999999</v>
      </c>
      <c r="E5" s="4">
        <f>C5</f>
        <v>0.08199999999999999</v>
      </c>
      <c r="F5" s="2">
        <f>D5</f>
        <v>918.3999999999999</v>
      </c>
      <c r="G5" s="24">
        <f>I5</f>
        <v>0.06740897485573043</v>
      </c>
      <c r="H5" s="18">
        <f>J5</f>
        <v>3337.959111405765</v>
      </c>
      <c r="I5" s="12">
        <f>J5/J$13</f>
        <v>0.06740897485573033</v>
      </c>
      <c r="J5" s="13">
        <f aca="true" t="shared" si="0" ref="J5:J12">D5+AG5</f>
        <v>3337.959111405774</v>
      </c>
      <c r="K5" s="12">
        <f>L5/$L$13</f>
        <v>0.05842418110625224</v>
      </c>
      <c r="L5" s="18">
        <f>(I5*100-K18)*J13/100</f>
        <v>2524.476348447231</v>
      </c>
      <c r="M5" s="1">
        <v>0</v>
      </c>
      <c r="N5" s="18">
        <v>0</v>
      </c>
      <c r="O5" s="24">
        <f aca="true" t="shared" si="1" ref="O5:O10">P5/$K$24</f>
        <v>0.06040098452788072</v>
      </c>
      <c r="P5" s="18">
        <f aca="true" t="shared" si="2" ref="P5:P10">L5</f>
        <v>2524.476348447231</v>
      </c>
      <c r="Q5" s="13">
        <f>N5+P5</f>
        <v>2524.476348447231</v>
      </c>
      <c r="R5">
        <v>0</v>
      </c>
      <c r="S5">
        <v>0</v>
      </c>
      <c r="T5" s="10">
        <f aca="true" t="shared" si="3" ref="T5:T10">U5/$K$27</f>
        <v>0.06117715299084005</v>
      </c>
      <c r="U5" s="30">
        <f aca="true" t="shared" si="4" ref="U5:U10">Q5</f>
        <v>2524.476348447231</v>
      </c>
      <c r="V5" s="13">
        <f>S5+U5</f>
        <v>2524.476348447231</v>
      </c>
      <c r="W5" s="12">
        <f>X5/X13</f>
        <v>0.01253009241067779</v>
      </c>
      <c r="X5" s="18">
        <f>0.02*AA5</f>
        <v>50.48952696894482</v>
      </c>
      <c r="Y5" s="24">
        <f>Z5/$Z$13</f>
        <v>0.06314415448248425</v>
      </c>
      <c r="Z5" s="18">
        <f>U5-X5</f>
        <v>2473.986821478286</v>
      </c>
      <c r="AA5" s="13">
        <f>Z5+X5</f>
        <v>2524.476348447231</v>
      </c>
      <c r="AB5" s="24">
        <f aca="true" t="shared" si="5" ref="AB5:AB13">Y5</f>
        <v>0.06314415448248425</v>
      </c>
      <c r="AC5" s="18">
        <f aca="true" t="shared" si="6" ref="AC5:AC13">Z5</f>
        <v>2473.986821478286</v>
      </c>
      <c r="AD5" s="12">
        <f>AE5/$AE$13</f>
        <v>0.06314415448248424</v>
      </c>
      <c r="AE5" s="13">
        <f>Z5*$B$21</f>
        <v>54.42771007252229</v>
      </c>
      <c r="AF5" s="9">
        <f>AG5/$AG$13</f>
        <v>0.06314415448248424</v>
      </c>
      <c r="AG5" s="14">
        <f>Z5-AE5</f>
        <v>2419.559111405764</v>
      </c>
      <c r="AH5" s="9">
        <f aca="true" t="shared" si="7" ref="AH5:AH13">AF5</f>
        <v>0.06314415448248424</v>
      </c>
      <c r="AI5" s="14">
        <f aca="true" t="shared" si="8" ref="AI5:AI13">AG5</f>
        <v>2419.559111405764</v>
      </c>
      <c r="AJ5" s="12">
        <f>AK5/AK13</f>
        <v>0.01253009241067779</v>
      </c>
      <c r="AK5" s="13">
        <f>X5</f>
        <v>50.48952696894482</v>
      </c>
    </row>
    <row r="6" spans="2:37" ht="12.75">
      <c r="B6" t="s">
        <v>1</v>
      </c>
      <c r="C6" s="1">
        <f>21.1/100</f>
        <v>0.21100000000000002</v>
      </c>
      <c r="D6" s="2">
        <f aca="true" t="shared" si="9" ref="D6:D12">C6*D$13</f>
        <v>2363.2000000000003</v>
      </c>
      <c r="E6" s="4">
        <f aca="true" t="shared" si="10" ref="E6:E13">C6</f>
        <v>0.21100000000000002</v>
      </c>
      <c r="F6" s="2">
        <f aca="true" t="shared" si="11" ref="F6:F13">D6</f>
        <v>2363.2000000000003</v>
      </c>
      <c r="G6" s="24">
        <f aca="true" t="shared" si="12" ref="G6:G13">I6</f>
        <v>0.0678275896532979</v>
      </c>
      <c r="H6" s="18">
        <f aca="true" t="shared" si="13" ref="H6:H13">J6</f>
        <v>3358.6880882326677</v>
      </c>
      <c r="I6" s="12">
        <f aca="true" t="shared" si="14" ref="I6:I12">J6/J$13</f>
        <v>0.06782758965329783</v>
      </c>
      <c r="J6" s="13">
        <f t="shared" si="0"/>
        <v>3358.688088232674</v>
      </c>
      <c r="K6" s="12">
        <f aca="true" t="shared" si="15" ref="K6:K12">L6/$L$13</f>
        <v>0.02355692182109426</v>
      </c>
      <c r="L6" s="18">
        <f>(I6*100-K17)*J13/100</f>
        <v>1017.8814808104985</v>
      </c>
      <c r="M6" s="1">
        <v>0</v>
      </c>
      <c r="N6" s="18">
        <v>0</v>
      </c>
      <c r="O6" s="24">
        <f t="shared" si="1"/>
        <v>0.024353978840589062</v>
      </c>
      <c r="P6" s="18">
        <f t="shared" si="2"/>
        <v>1017.8814808104985</v>
      </c>
      <c r="Q6" s="13">
        <f aca="true" t="shared" si="16" ref="Q6:Q12">N6+P6</f>
        <v>1017.8814808104985</v>
      </c>
      <c r="R6">
        <v>0</v>
      </c>
      <c r="S6">
        <v>0</v>
      </c>
      <c r="T6" s="10">
        <f t="shared" si="3"/>
        <v>0.02466693384407776</v>
      </c>
      <c r="U6" s="30">
        <f t="shared" si="4"/>
        <v>1017.8814808104985</v>
      </c>
      <c r="V6" s="13">
        <f aca="true" t="shared" si="17" ref="V6:V12">S6+U6</f>
        <v>1017.8814808104985</v>
      </c>
      <c r="W6" s="12">
        <v>0</v>
      </c>
      <c r="X6" s="18">
        <v>0</v>
      </c>
      <c r="Y6" s="24">
        <f aca="true" t="shared" si="18" ref="Y6:Y12">Z6/$Z$13</f>
        <v>0.02597963130246295</v>
      </c>
      <c r="Z6" s="18">
        <f>L6</f>
        <v>1017.8814808104985</v>
      </c>
      <c r="AA6" s="13">
        <f aca="true" t="shared" si="19" ref="AA6:AA13">Z6+X6</f>
        <v>1017.8814808104985</v>
      </c>
      <c r="AB6" s="24">
        <f t="shared" si="5"/>
        <v>0.02597963130246295</v>
      </c>
      <c r="AC6" s="18">
        <f t="shared" si="6"/>
        <v>1017.8814808104985</v>
      </c>
      <c r="AD6" s="12">
        <f aca="true" t="shared" si="20" ref="AD6:AD12">AE6/$AE$13</f>
        <v>0.025979631302462947</v>
      </c>
      <c r="AE6" s="13">
        <f aca="true" t="shared" si="21" ref="AE6:AE12">Z6*$B$21</f>
        <v>22.393392577830966</v>
      </c>
      <c r="AF6" s="9">
        <f aca="true" t="shared" si="22" ref="AF6:AF12">AG6/$AG$13</f>
        <v>0.025979631302462947</v>
      </c>
      <c r="AG6" s="14">
        <f aca="true" t="shared" si="23" ref="AG6:AG12">Z6-AE6</f>
        <v>995.4880882326676</v>
      </c>
      <c r="AH6" s="9">
        <f t="shared" si="7"/>
        <v>0.025979631302462947</v>
      </c>
      <c r="AI6" s="14">
        <f t="shared" si="8"/>
        <v>995.4880882326676</v>
      </c>
      <c r="AJ6" s="12">
        <f>W6</f>
        <v>0</v>
      </c>
      <c r="AK6" s="13">
        <f aca="true" t="shared" si="24" ref="AK6:AK13">X6</f>
        <v>0</v>
      </c>
    </row>
    <row r="7" spans="2:37" ht="12.75">
      <c r="B7" t="s">
        <v>2</v>
      </c>
      <c r="C7" s="1">
        <f>68.9/100</f>
        <v>0.6890000000000001</v>
      </c>
      <c r="D7" s="13">
        <f t="shared" si="9"/>
        <v>7716.800000000001</v>
      </c>
      <c r="E7" s="4">
        <f t="shared" si="10"/>
        <v>0.6890000000000001</v>
      </c>
      <c r="F7" s="2">
        <f t="shared" si="11"/>
        <v>7716.800000000001</v>
      </c>
      <c r="G7" s="24">
        <f t="shared" si="12"/>
        <v>0.6897615861706533</v>
      </c>
      <c r="H7" s="18">
        <f t="shared" si="13"/>
        <v>34155.62951645009</v>
      </c>
      <c r="I7" s="12">
        <f t="shared" si="14"/>
        <v>0.6897615861706533</v>
      </c>
      <c r="J7" s="13">
        <f t="shared" si="0"/>
        <v>34155.629516450135</v>
      </c>
      <c r="K7" s="12">
        <f t="shared" si="15"/>
        <v>0.625640273673154</v>
      </c>
      <c r="L7" s="18">
        <f>(I7*100-2*K17-3*K18)*J13/100</f>
        <v>27033.568012730153</v>
      </c>
      <c r="M7" s="1">
        <v>0</v>
      </c>
      <c r="N7" s="18">
        <v>0</v>
      </c>
      <c r="O7" s="8">
        <f t="shared" si="1"/>
        <v>0.6468090399320502</v>
      </c>
      <c r="P7" s="48">
        <f t="shared" si="2"/>
        <v>27033.568012730153</v>
      </c>
      <c r="Q7" s="14">
        <f t="shared" si="16"/>
        <v>27033.568012730153</v>
      </c>
      <c r="R7" s="32">
        <v>0</v>
      </c>
      <c r="S7" s="32">
        <v>0</v>
      </c>
      <c r="T7" s="90">
        <f t="shared" si="3"/>
        <v>0.6551207054169152</v>
      </c>
      <c r="U7" s="30">
        <f t="shared" si="4"/>
        <v>27033.568012730153</v>
      </c>
      <c r="V7" s="13">
        <f t="shared" si="17"/>
        <v>27033.568012730153</v>
      </c>
      <c r="W7" s="12">
        <v>0</v>
      </c>
      <c r="X7" s="18">
        <v>0</v>
      </c>
      <c r="Y7" s="24">
        <f t="shared" si="18"/>
        <v>0.6899841906953164</v>
      </c>
      <c r="Z7" s="18">
        <f>L7</f>
        <v>27033.568012730153</v>
      </c>
      <c r="AA7" s="13">
        <f t="shared" si="19"/>
        <v>27033.568012730153</v>
      </c>
      <c r="AB7" s="24">
        <f t="shared" si="5"/>
        <v>0.6899841906953164</v>
      </c>
      <c r="AC7" s="18">
        <f t="shared" si="6"/>
        <v>27033.568012730153</v>
      </c>
      <c r="AD7" s="12">
        <f t="shared" si="20"/>
        <v>0.6899841906953162</v>
      </c>
      <c r="AE7" s="13">
        <f t="shared" si="21"/>
        <v>594.7384962800634</v>
      </c>
      <c r="AF7" s="9">
        <f t="shared" si="22"/>
        <v>0.6899841906953162</v>
      </c>
      <c r="AG7" s="14">
        <f t="shared" si="23"/>
        <v>26438.82951645009</v>
      </c>
      <c r="AH7" s="9">
        <f t="shared" si="7"/>
        <v>0.6899841906953162</v>
      </c>
      <c r="AI7" s="14">
        <f t="shared" si="8"/>
        <v>26438.82951645009</v>
      </c>
      <c r="AJ7" s="12">
        <f>W7</f>
        <v>0</v>
      </c>
      <c r="AK7" s="13">
        <f t="shared" si="24"/>
        <v>0</v>
      </c>
    </row>
    <row r="8" spans="2:37" ht="12.75">
      <c r="B8" t="s">
        <v>3</v>
      </c>
      <c r="C8" s="1">
        <f>1.4/100</f>
        <v>0.013999999999999999</v>
      </c>
      <c r="D8" s="2">
        <f t="shared" si="9"/>
        <v>156.79999999999998</v>
      </c>
      <c r="E8" s="4">
        <f t="shared" si="10"/>
        <v>0.013999999999999999</v>
      </c>
      <c r="F8" s="2">
        <f t="shared" si="11"/>
        <v>156.79999999999998</v>
      </c>
      <c r="G8" s="24">
        <f t="shared" si="12"/>
        <v>0.14393290391754543</v>
      </c>
      <c r="H8" s="18">
        <f t="shared" si="13"/>
        <v>7127.272727272756</v>
      </c>
      <c r="I8" s="12">
        <f t="shared" si="14"/>
        <v>0.14393290391754557</v>
      </c>
      <c r="J8" s="13">
        <f t="shared" si="0"/>
        <v>7127.272727272756</v>
      </c>
      <c r="K8" s="12">
        <f t="shared" si="15"/>
        <v>0.16494710788950703</v>
      </c>
      <c r="L8" s="18">
        <f>J8</f>
        <v>7127.272727272756</v>
      </c>
      <c r="M8" s="1">
        <v>0</v>
      </c>
      <c r="N8" s="18">
        <v>0</v>
      </c>
      <c r="O8" s="8">
        <f t="shared" si="1"/>
        <v>0.1705281532903951</v>
      </c>
      <c r="P8" s="48">
        <f t="shared" si="2"/>
        <v>7127.272727272756</v>
      </c>
      <c r="Q8" s="14">
        <f t="shared" si="16"/>
        <v>7127.272727272756</v>
      </c>
      <c r="R8" s="32">
        <v>0</v>
      </c>
      <c r="S8" s="32">
        <v>0</v>
      </c>
      <c r="T8" s="90">
        <f t="shared" si="3"/>
        <v>0.1727194847010545</v>
      </c>
      <c r="U8" s="30">
        <f t="shared" si="4"/>
        <v>7127.272727272756</v>
      </c>
      <c r="V8" s="13">
        <f t="shared" si="17"/>
        <v>7127.272727272756</v>
      </c>
      <c r="W8" s="12">
        <v>0</v>
      </c>
      <c r="X8" s="18">
        <v>0</v>
      </c>
      <c r="Y8" s="24">
        <f t="shared" si="18"/>
        <v>0.18191107819272428</v>
      </c>
      <c r="Z8" s="18">
        <f>L8</f>
        <v>7127.272727272756</v>
      </c>
      <c r="AA8" s="13">
        <f t="shared" si="19"/>
        <v>7127.272727272756</v>
      </c>
      <c r="AB8" s="24">
        <f t="shared" si="5"/>
        <v>0.18191107819272428</v>
      </c>
      <c r="AC8" s="18">
        <f t="shared" si="6"/>
        <v>7127.272727272756</v>
      </c>
      <c r="AD8" s="12">
        <f t="shared" si="20"/>
        <v>0.18191107819272426</v>
      </c>
      <c r="AE8" s="13">
        <f t="shared" si="21"/>
        <v>156.80000000000064</v>
      </c>
      <c r="AF8" s="9">
        <f t="shared" si="22"/>
        <v>0.18191107819272426</v>
      </c>
      <c r="AG8" s="14">
        <f t="shared" si="23"/>
        <v>6970.472727272756</v>
      </c>
      <c r="AH8" s="9">
        <f t="shared" si="7"/>
        <v>0.18191107819272426</v>
      </c>
      <c r="AI8" s="14">
        <f t="shared" si="8"/>
        <v>6970.472727272756</v>
      </c>
      <c r="AJ8" s="12">
        <f>W8</f>
        <v>0</v>
      </c>
      <c r="AK8" s="13">
        <f t="shared" si="24"/>
        <v>0</v>
      </c>
    </row>
    <row r="9" spans="2:37" ht="12.75">
      <c r="B9" t="s">
        <v>4</v>
      </c>
      <c r="C9" s="1">
        <f>0.2/100</f>
        <v>0.002</v>
      </c>
      <c r="D9" s="2">
        <f t="shared" si="9"/>
        <v>22.400000000000002</v>
      </c>
      <c r="E9" s="4">
        <f t="shared" si="10"/>
        <v>0.002</v>
      </c>
      <c r="F9" s="2">
        <f t="shared" si="11"/>
        <v>22.400000000000002</v>
      </c>
      <c r="G9" s="24">
        <f t="shared" si="12"/>
        <v>0.020561843416792153</v>
      </c>
      <c r="H9" s="18">
        <f t="shared" si="13"/>
        <v>1018.1818181818197</v>
      </c>
      <c r="I9" s="12">
        <f t="shared" si="14"/>
        <v>0.020561843416792173</v>
      </c>
      <c r="J9" s="13">
        <f t="shared" si="0"/>
        <v>1018.1818181818197</v>
      </c>
      <c r="K9" s="12">
        <f t="shared" si="15"/>
        <v>0.023563872555643805</v>
      </c>
      <c r="L9" s="18">
        <f>J9</f>
        <v>1018.1818181818197</v>
      </c>
      <c r="M9" s="1">
        <v>0</v>
      </c>
      <c r="N9" s="18">
        <v>0</v>
      </c>
      <c r="O9" s="8">
        <f t="shared" si="1"/>
        <v>0.024361164755770666</v>
      </c>
      <c r="P9" s="48">
        <f t="shared" si="2"/>
        <v>1018.1818181818197</v>
      </c>
      <c r="Q9" s="14">
        <f t="shared" si="16"/>
        <v>1018.1818181818197</v>
      </c>
      <c r="R9" s="32">
        <v>0</v>
      </c>
      <c r="S9" s="32">
        <v>0</v>
      </c>
      <c r="T9" s="90">
        <f t="shared" si="3"/>
        <v>0.02467421210015058</v>
      </c>
      <c r="U9" s="30">
        <f t="shared" si="4"/>
        <v>1018.1818181818197</v>
      </c>
      <c r="V9" s="13">
        <f t="shared" si="17"/>
        <v>1018.1818181818197</v>
      </c>
      <c r="W9" s="12">
        <v>0</v>
      </c>
      <c r="X9" s="18">
        <v>0</v>
      </c>
      <c r="Y9" s="24">
        <f t="shared" si="18"/>
        <v>0.02598729688467483</v>
      </c>
      <c r="Z9" s="18">
        <f>L9</f>
        <v>1018.1818181818197</v>
      </c>
      <c r="AA9" s="13">
        <f t="shared" si="19"/>
        <v>1018.1818181818197</v>
      </c>
      <c r="AB9" s="24">
        <f t="shared" si="5"/>
        <v>0.02598729688467483</v>
      </c>
      <c r="AC9" s="18">
        <f t="shared" si="6"/>
        <v>1018.1818181818197</v>
      </c>
      <c r="AD9" s="12">
        <f t="shared" si="20"/>
        <v>0.02598729688467483</v>
      </c>
      <c r="AE9" s="13">
        <f t="shared" si="21"/>
        <v>22.400000000000034</v>
      </c>
      <c r="AF9" s="9">
        <f t="shared" si="22"/>
        <v>0.02598729688467483</v>
      </c>
      <c r="AG9" s="14">
        <f t="shared" si="23"/>
        <v>995.7818181818197</v>
      </c>
      <c r="AH9" s="9">
        <f t="shared" si="7"/>
        <v>0.02598729688467483</v>
      </c>
      <c r="AI9" s="14">
        <f t="shared" si="8"/>
        <v>995.7818181818197</v>
      </c>
      <c r="AJ9" s="12">
        <f>W9</f>
        <v>0</v>
      </c>
      <c r="AK9" s="13">
        <f t="shared" si="24"/>
        <v>0</v>
      </c>
    </row>
    <row r="10" spans="2:37" ht="12.75">
      <c r="B10" t="s">
        <v>5</v>
      </c>
      <c r="C10" s="1">
        <f>0.1/100</f>
        <v>0.001</v>
      </c>
      <c r="D10" s="2">
        <f t="shared" si="9"/>
        <v>11.200000000000001</v>
      </c>
      <c r="E10" s="4">
        <f t="shared" si="10"/>
        <v>0.001</v>
      </c>
      <c r="F10" s="2">
        <f t="shared" si="11"/>
        <v>11.200000000000001</v>
      </c>
      <c r="G10" s="24">
        <f t="shared" si="12"/>
        <v>0.010280921708396076</v>
      </c>
      <c r="H10" s="18">
        <f t="shared" si="13"/>
        <v>509.09090909090986</v>
      </c>
      <c r="I10" s="12">
        <f t="shared" si="14"/>
        <v>0.010280921708396087</v>
      </c>
      <c r="J10" s="13">
        <f t="shared" si="0"/>
        <v>509.09090909090986</v>
      </c>
      <c r="K10" s="12">
        <f t="shared" si="15"/>
        <v>0.011781936277821902</v>
      </c>
      <c r="L10" s="18">
        <f>J10</f>
        <v>509.09090909090986</v>
      </c>
      <c r="M10" s="1">
        <v>0</v>
      </c>
      <c r="N10" s="18">
        <v>0</v>
      </c>
      <c r="O10" s="8">
        <f t="shared" si="1"/>
        <v>0.012180582377885333</v>
      </c>
      <c r="P10" s="48">
        <f t="shared" si="2"/>
        <v>509.09090909090986</v>
      </c>
      <c r="Q10" s="14">
        <f t="shared" si="16"/>
        <v>509.09090909090986</v>
      </c>
      <c r="R10" s="32">
        <v>0</v>
      </c>
      <c r="S10" s="32">
        <v>0</v>
      </c>
      <c r="T10" s="90">
        <f t="shared" si="3"/>
        <v>0.01233710605007529</v>
      </c>
      <c r="U10" s="30">
        <f t="shared" si="4"/>
        <v>509.09090909090986</v>
      </c>
      <c r="V10" s="13">
        <f t="shared" si="17"/>
        <v>509.09090909090986</v>
      </c>
      <c r="W10" s="12">
        <v>0</v>
      </c>
      <c r="X10" s="18">
        <v>0</v>
      </c>
      <c r="Y10" s="24">
        <f t="shared" si="18"/>
        <v>0.012993648442337415</v>
      </c>
      <c r="Z10" s="18">
        <f>L10</f>
        <v>509.09090909090986</v>
      </c>
      <c r="AA10" s="13">
        <f t="shared" si="19"/>
        <v>509.09090909090986</v>
      </c>
      <c r="AB10" s="24">
        <f t="shared" si="5"/>
        <v>0.012993648442337415</v>
      </c>
      <c r="AC10" s="18">
        <f t="shared" si="6"/>
        <v>509.09090909090986</v>
      </c>
      <c r="AD10" s="12">
        <f t="shared" si="20"/>
        <v>0.012993648442337415</v>
      </c>
      <c r="AE10" s="13">
        <f t="shared" si="21"/>
        <v>11.200000000000017</v>
      </c>
      <c r="AF10" s="9">
        <f t="shared" si="22"/>
        <v>0.012993648442337415</v>
      </c>
      <c r="AG10" s="14">
        <f t="shared" si="23"/>
        <v>497.8909090909099</v>
      </c>
      <c r="AH10" s="9">
        <f t="shared" si="7"/>
        <v>0.012993648442337415</v>
      </c>
      <c r="AI10" s="14">
        <f t="shared" si="8"/>
        <v>497.8909090909099</v>
      </c>
      <c r="AJ10" s="12">
        <f>W10</f>
        <v>0</v>
      </c>
      <c r="AK10" s="13">
        <f t="shared" si="24"/>
        <v>0</v>
      </c>
    </row>
    <row r="11" spans="2:37" ht="12.75">
      <c r="B11" t="s">
        <v>6</v>
      </c>
      <c r="C11" s="1">
        <f>0.1/100</f>
        <v>0.001</v>
      </c>
      <c r="D11" s="2">
        <f t="shared" si="9"/>
        <v>11.200000000000001</v>
      </c>
      <c r="E11" s="4">
        <f t="shared" si="10"/>
        <v>0.001</v>
      </c>
      <c r="F11" s="2">
        <f t="shared" si="11"/>
        <v>11.200000000000001</v>
      </c>
      <c r="G11" s="24">
        <f t="shared" si="12"/>
        <v>0.00022618027758471333</v>
      </c>
      <c r="H11" s="18">
        <f t="shared" si="13"/>
        <v>11.200000000000001</v>
      </c>
      <c r="I11" s="12">
        <f t="shared" si="14"/>
        <v>0.00022618027758471358</v>
      </c>
      <c r="J11" s="13">
        <f t="shared" si="0"/>
        <v>11.200000000000001</v>
      </c>
      <c r="K11" s="12">
        <f t="shared" si="15"/>
        <v>0.0190857066765269</v>
      </c>
      <c r="L11" s="18">
        <f>(I11*100+K18)*J13/100</f>
        <v>824.6827629585337</v>
      </c>
      <c r="M11" s="9">
        <f>$L$11/($K$23+(S18/$N$23)*$K$24)</f>
        <v>0.3470284974623857</v>
      </c>
      <c r="N11" s="48">
        <f>M11*$K$23</f>
        <v>494.83197157860417</v>
      </c>
      <c r="O11" s="8">
        <f>(M11*$S$18)/$N$23</f>
        <v>0.007892057518741575</v>
      </c>
      <c r="P11" s="48">
        <f>O11*$K$24</f>
        <v>329.8507913799293</v>
      </c>
      <c r="Q11" s="14">
        <f t="shared" si="16"/>
        <v>824.6827629585334</v>
      </c>
      <c r="R11" s="90">
        <f>$L$11/($K$26+(S19/$O$23)*$K$27)</f>
        <v>0.3087971124520152</v>
      </c>
      <c r="S11" s="91">
        <f>R11*$K$26</f>
        <v>600.4328112811519</v>
      </c>
      <c r="T11" s="90">
        <f>(R11*$S$19)/$O$23</f>
        <v>0.005434383891294509</v>
      </c>
      <c r="U11">
        <f>T11*$K$27</f>
        <v>224.24995167738174</v>
      </c>
      <c r="V11" s="13">
        <f t="shared" si="17"/>
        <v>824.6827629585337</v>
      </c>
      <c r="W11" s="12">
        <f>X11/$X$13</f>
        <v>0.20466326087228714</v>
      </c>
      <c r="X11" s="18">
        <f>L11</f>
        <v>824.6827629585337</v>
      </c>
      <c r="Y11" s="24">
        <f t="shared" si="18"/>
        <v>0</v>
      </c>
      <c r="Z11" s="18">
        <v>0</v>
      </c>
      <c r="AA11" s="13">
        <f t="shared" si="19"/>
        <v>824.6827629585337</v>
      </c>
      <c r="AB11" s="24">
        <f t="shared" si="5"/>
        <v>0</v>
      </c>
      <c r="AC11" s="18">
        <f t="shared" si="6"/>
        <v>0</v>
      </c>
      <c r="AD11" s="12">
        <f t="shared" si="20"/>
        <v>0</v>
      </c>
      <c r="AE11" s="13">
        <f t="shared" si="21"/>
        <v>0</v>
      </c>
      <c r="AF11" s="9">
        <f t="shared" si="22"/>
        <v>0</v>
      </c>
      <c r="AG11" s="14">
        <f t="shared" si="23"/>
        <v>0</v>
      </c>
      <c r="AH11" s="9">
        <f t="shared" si="7"/>
        <v>0</v>
      </c>
      <c r="AI11" s="14">
        <f t="shared" si="8"/>
        <v>0</v>
      </c>
      <c r="AJ11" s="12">
        <f>AK11/AK13</f>
        <v>0.20466326087228714</v>
      </c>
      <c r="AK11" s="13">
        <f t="shared" si="24"/>
        <v>824.6827629585337</v>
      </c>
    </row>
    <row r="12" spans="2:37" ht="12.75">
      <c r="B12" t="s">
        <v>7</v>
      </c>
      <c r="C12" s="17">
        <f>0/100</f>
        <v>0</v>
      </c>
      <c r="D12" s="16">
        <f t="shared" si="9"/>
        <v>0</v>
      </c>
      <c r="E12" s="23">
        <f t="shared" si="10"/>
        <v>0</v>
      </c>
      <c r="F12" s="3">
        <f t="shared" si="11"/>
        <v>0</v>
      </c>
      <c r="G12" s="31">
        <f t="shared" si="12"/>
        <v>0</v>
      </c>
      <c r="H12" s="19">
        <f t="shared" si="13"/>
        <v>0</v>
      </c>
      <c r="I12" s="17">
        <f t="shared" si="14"/>
        <v>0</v>
      </c>
      <c r="J12" s="16">
        <f t="shared" si="0"/>
        <v>0</v>
      </c>
      <c r="K12" s="17">
        <f t="shared" si="15"/>
        <v>0.07299999999999995</v>
      </c>
      <c r="L12" s="16">
        <f>(I12*100+K17+K18)*J13/100</f>
        <v>3154.289370380703</v>
      </c>
      <c r="M12" s="20">
        <f>$L$12/($K$23+(P18/$N$23)*$K$24)</f>
        <v>0.6990968278897517</v>
      </c>
      <c r="N12" s="46">
        <f>M12*$K$23</f>
        <v>996.8502996112871</v>
      </c>
      <c r="O12" s="89">
        <f>(M12*$P$18)/$N$23</f>
        <v>0.05161919778473703</v>
      </c>
      <c r="P12" s="46">
        <f>O12*K24</f>
        <v>2157.4390707694156</v>
      </c>
      <c r="Q12" s="15">
        <f t="shared" si="16"/>
        <v>3154.2893703807026</v>
      </c>
      <c r="R12" s="89">
        <f>$L$12/($K$26+(P19/$O$23)*$K$27)</f>
        <v>0.7210004205987618</v>
      </c>
      <c r="S12" s="46">
        <f>R12*$K$26</f>
        <v>1401.9312099049464</v>
      </c>
      <c r="T12" s="89">
        <f>(R12*$P$19)/$O$23</f>
        <v>0.0424659487675976</v>
      </c>
      <c r="U12" s="23">
        <f>T12*$K$27</f>
        <v>1752.358160475757</v>
      </c>
      <c r="V12" s="16">
        <f t="shared" si="17"/>
        <v>3154.289370380703</v>
      </c>
      <c r="W12" s="17">
        <f>X12/$X$13</f>
        <v>0.782806646717035</v>
      </c>
      <c r="X12" s="19">
        <f>L12</f>
        <v>3154.289370380703</v>
      </c>
      <c r="Y12" s="31">
        <f t="shared" si="18"/>
        <v>0</v>
      </c>
      <c r="Z12" s="19">
        <v>0</v>
      </c>
      <c r="AA12" s="13">
        <f t="shared" si="19"/>
        <v>3154.289370380703</v>
      </c>
      <c r="AB12" s="17">
        <f t="shared" si="5"/>
        <v>0</v>
      </c>
      <c r="AC12" s="16">
        <f t="shared" si="6"/>
        <v>0</v>
      </c>
      <c r="AD12" s="17">
        <f t="shared" si="20"/>
        <v>0</v>
      </c>
      <c r="AE12" s="16">
        <f t="shared" si="21"/>
        <v>0</v>
      </c>
      <c r="AF12" s="20">
        <f t="shared" si="22"/>
        <v>0</v>
      </c>
      <c r="AG12" s="15">
        <f t="shared" si="23"/>
        <v>0</v>
      </c>
      <c r="AH12" s="20">
        <f t="shared" si="7"/>
        <v>0</v>
      </c>
      <c r="AI12" s="15">
        <f t="shared" si="8"/>
        <v>0</v>
      </c>
      <c r="AJ12" s="17">
        <f>AK12/AK13</f>
        <v>0.782806646717035</v>
      </c>
      <c r="AK12" s="16">
        <f t="shared" si="24"/>
        <v>3154.289370380703</v>
      </c>
    </row>
    <row r="13" spans="3:37" ht="12.75">
      <c r="C13" s="17">
        <f>SUM(C5:C12)</f>
        <v>1</v>
      </c>
      <c r="D13" s="16">
        <v>11200</v>
      </c>
      <c r="E13" s="28">
        <f t="shared" si="10"/>
        <v>1</v>
      </c>
      <c r="F13" s="3">
        <f t="shared" si="11"/>
        <v>11200</v>
      </c>
      <c r="G13" s="17">
        <f t="shared" si="12"/>
        <v>1</v>
      </c>
      <c r="H13" s="16">
        <f t="shared" si="13"/>
        <v>49518.02217063401</v>
      </c>
      <c r="I13" s="17">
        <f aca="true" t="shared" si="25" ref="I13:V13">SUM(I5:I12)</f>
        <v>1</v>
      </c>
      <c r="J13" s="16">
        <f t="shared" si="25"/>
        <v>49518.02217063407</v>
      </c>
      <c r="K13" s="17">
        <f t="shared" si="25"/>
        <v>1</v>
      </c>
      <c r="L13" s="19">
        <f t="shared" si="25"/>
        <v>43209.443429872605</v>
      </c>
      <c r="M13" s="20">
        <f t="shared" si="25"/>
        <v>1.0461253253521374</v>
      </c>
      <c r="N13" s="46">
        <f t="shared" si="25"/>
        <v>1491.6822711898913</v>
      </c>
      <c r="O13" s="89">
        <f t="shared" si="25"/>
        <v>0.9981451590280496</v>
      </c>
      <c r="P13" s="46">
        <f t="shared" si="25"/>
        <v>41717.76115868271</v>
      </c>
      <c r="Q13" s="15">
        <f t="shared" si="25"/>
        <v>43209.443429872605</v>
      </c>
      <c r="R13" s="20">
        <f t="shared" si="25"/>
        <v>1.029797533050777</v>
      </c>
      <c r="S13" s="46">
        <f t="shared" si="25"/>
        <v>2002.3640211860984</v>
      </c>
      <c r="T13" s="89">
        <f t="shared" si="25"/>
        <v>0.9985959277620055</v>
      </c>
      <c r="U13" s="19">
        <f t="shared" si="25"/>
        <v>41207.079408686506</v>
      </c>
      <c r="V13" s="16">
        <f t="shared" si="25"/>
        <v>43209.443429872605</v>
      </c>
      <c r="W13" s="17">
        <f>SUM(W5:W12)</f>
        <v>1</v>
      </c>
      <c r="X13" s="19">
        <f aca="true" t="shared" si="26" ref="X13:AG13">SUM(X5:X12)</f>
        <v>4029.4616603081813</v>
      </c>
      <c r="Y13" s="31">
        <f t="shared" si="26"/>
        <v>1</v>
      </c>
      <c r="Z13" s="19">
        <f t="shared" si="26"/>
        <v>39179.98176956442</v>
      </c>
      <c r="AA13" s="65">
        <f t="shared" si="19"/>
        <v>43209.443429872605</v>
      </c>
      <c r="AB13" s="31">
        <f t="shared" si="5"/>
        <v>1</v>
      </c>
      <c r="AC13" s="19">
        <f t="shared" si="6"/>
        <v>39179.98176956442</v>
      </c>
      <c r="AD13" s="17">
        <f t="shared" si="26"/>
        <v>0.9999999999999999</v>
      </c>
      <c r="AE13" s="3">
        <f t="shared" si="26"/>
        <v>861.9595989304173</v>
      </c>
      <c r="AF13" s="20">
        <f t="shared" si="26"/>
        <v>0.9999999999999999</v>
      </c>
      <c r="AG13" s="15">
        <f t="shared" si="26"/>
        <v>38318.022170634</v>
      </c>
      <c r="AH13" s="20">
        <f t="shared" si="7"/>
        <v>0.9999999999999999</v>
      </c>
      <c r="AI13" s="15">
        <f t="shared" si="8"/>
        <v>38318.022170634</v>
      </c>
      <c r="AJ13" s="17">
        <f>SUM(AJ5:AJ12)</f>
        <v>1</v>
      </c>
      <c r="AK13" s="16">
        <f t="shared" si="24"/>
        <v>4029.4616603081813</v>
      </c>
    </row>
    <row r="14" spans="15:20" ht="12.75">
      <c r="O14" s="32"/>
      <c r="P14" s="32"/>
      <c r="Q14" s="32"/>
      <c r="R14" s="32"/>
      <c r="S14" s="32"/>
      <c r="T14" s="32"/>
    </row>
    <row r="15" spans="5:20" ht="12.75">
      <c r="E15" t="s">
        <v>100</v>
      </c>
      <c r="G15">
        <v>31</v>
      </c>
      <c r="O15" s="32"/>
      <c r="P15" s="32"/>
      <c r="Q15" s="32"/>
      <c r="R15" s="32"/>
      <c r="S15" s="32"/>
      <c r="T15" s="32"/>
    </row>
    <row r="16" spans="7:20" ht="12.75">
      <c r="G16" t="s">
        <v>95</v>
      </c>
      <c r="J16" t="s">
        <v>25</v>
      </c>
      <c r="N16" s="23" t="s">
        <v>37</v>
      </c>
      <c r="O16" s="47"/>
      <c r="P16" s="49"/>
      <c r="Q16" s="47" t="s">
        <v>39</v>
      </c>
      <c r="R16" s="47"/>
      <c r="S16" s="47"/>
      <c r="T16" s="32"/>
    </row>
    <row r="17" spans="1:29" ht="12.75">
      <c r="A17" t="s">
        <v>12</v>
      </c>
      <c r="B17" s="34">
        <f>(C7-C5)/(C6+C5)</f>
        <v>2.0716723549488054</v>
      </c>
      <c r="E17" t="s">
        <v>93</v>
      </c>
      <c r="G17">
        <v>-98</v>
      </c>
      <c r="J17" s="5" t="s">
        <v>13</v>
      </c>
      <c r="K17" s="21">
        <f>(B20*100-K18*(2*B20+1)-I12*100)/(2*B20+1)</f>
        <v>4.727181144989976</v>
      </c>
      <c r="M17" t="s">
        <v>40</v>
      </c>
      <c r="N17" s="26" t="s">
        <v>38</v>
      </c>
      <c r="O17" s="26" t="s">
        <v>45</v>
      </c>
      <c r="P17" s="27" t="s">
        <v>59</v>
      </c>
      <c r="Q17" s="27" t="s">
        <v>38</v>
      </c>
      <c r="R17" s="29" t="s">
        <v>45</v>
      </c>
      <c r="S17" s="26" t="s">
        <v>59</v>
      </c>
      <c r="Y17" s="8"/>
      <c r="Z17" s="7"/>
      <c r="AA17" s="7"/>
      <c r="AB17" s="7"/>
      <c r="AC17" s="7"/>
    </row>
    <row r="18" spans="5:35" ht="12.75">
      <c r="E18" t="s">
        <v>94</v>
      </c>
      <c r="G18">
        <v>-58</v>
      </c>
      <c r="J18" s="5" t="s">
        <v>14</v>
      </c>
      <c r="K18" s="21">
        <f>(-K21-(K21^2-4*K20*K22)^0.5)/(2*K20)</f>
        <v>1.6428014030030436</v>
      </c>
      <c r="M18">
        <v>391</v>
      </c>
      <c r="N18">
        <f>$R$23+($R$24/M18)+$R$25*LOG10(M18)+$R$26*M18+$R$27*(M18)^2</f>
        <v>3.6541375283376363</v>
      </c>
      <c r="O18">
        <f>10^N18</f>
        <v>4509.594875893177</v>
      </c>
      <c r="P18" s="2">
        <f>(O18*1.333*10^-3)</f>
        <v>6.011289969565605</v>
      </c>
      <c r="Q18">
        <f>$S$23+($S$24/M18)+$S$25*LOG10(M18)+$S$26*M18+$S$27*(M18)^2</f>
        <v>3.1426887109452997</v>
      </c>
      <c r="R18">
        <f>10^Q18</f>
        <v>1388.9567124742205</v>
      </c>
      <c r="S18">
        <f>R18*1.333*10^-3</f>
        <v>1.8514792977281358</v>
      </c>
      <c r="Y18" s="8"/>
      <c r="Z18" s="7"/>
      <c r="AA18" s="7"/>
      <c r="AB18" s="7"/>
      <c r="AC18" s="7"/>
      <c r="AF18" s="10"/>
      <c r="AG18" s="30"/>
      <c r="AH18" s="30"/>
      <c r="AI18" s="30"/>
    </row>
    <row r="19" spans="1:29" ht="12.75">
      <c r="A19" t="s">
        <v>15</v>
      </c>
      <c r="B19" s="11">
        <v>81.3</v>
      </c>
      <c r="C19" t="s">
        <v>107</v>
      </c>
      <c r="J19" s="22" t="s">
        <v>26</v>
      </c>
      <c r="M19">
        <v>383</v>
      </c>
      <c r="N19">
        <f>$R$23+($R$24/M19)+$R$25*LOG10(M19)+$R$26*M19+$R$27*(M19)^2</f>
        <v>3.553293467734654</v>
      </c>
      <c r="O19">
        <f>10^N19</f>
        <v>3575.143412967668</v>
      </c>
      <c r="P19" s="2">
        <f>(O19*1.333*10^-3)</f>
        <v>4.765666169485901</v>
      </c>
      <c r="Q19">
        <f>$S$23+($S$24/M19)+$S$25*LOG10(M19)+$S$26*M19+$S$27*(M19)^2</f>
        <v>3.0286652379591508</v>
      </c>
      <c r="R19">
        <f>10^Q19</f>
        <v>1068.2311499014536</v>
      </c>
      <c r="S19">
        <f>R19*1.333*10^-3</f>
        <v>1.4239521228186378</v>
      </c>
      <c r="Y19" s="8"/>
      <c r="Z19" s="7"/>
      <c r="AA19" s="7"/>
      <c r="AB19" s="7"/>
      <c r="AC19" s="7"/>
    </row>
    <row r="20" spans="1:29" ht="12.75">
      <c r="A20" t="s">
        <v>108</v>
      </c>
      <c r="B20" s="11">
        <v>0.073</v>
      </c>
      <c r="C20" t="s">
        <v>16</v>
      </c>
      <c r="E20" t="s">
        <v>98</v>
      </c>
      <c r="G20">
        <f>(L34-J34)*3600*1000</f>
        <v>-214158972698.3154</v>
      </c>
      <c r="J20" t="s">
        <v>17</v>
      </c>
      <c r="K20">
        <v>3</v>
      </c>
      <c r="M20">
        <v>308</v>
      </c>
      <c r="N20">
        <f>$R$23+($R$24/M20)+$R$25*LOG10(M20)+$R$26*M20+$R$27*(M20)^2</f>
        <v>2.316554307884169</v>
      </c>
      <c r="O20">
        <f>10^N20</f>
        <v>207.2785242113212</v>
      </c>
      <c r="P20" s="2">
        <f>(O20*1.333*10^-3)</f>
        <v>0.2763022727736912</v>
      </c>
      <c r="Q20">
        <f>$S$23+($S$24/M20)+$S$25*LOG10(M20)+$S$26*M20+$S$27*(M20)^2</f>
        <v>1.6220662702877189</v>
      </c>
      <c r="R20">
        <f>10^Q20</f>
        <v>41.885747495057664</v>
      </c>
      <c r="S20">
        <f>R20*1.333*10^-3</f>
        <v>0.055833701410911867</v>
      </c>
      <c r="Y20" s="8"/>
      <c r="Z20" s="7"/>
      <c r="AA20" s="7"/>
      <c r="AB20" s="7"/>
      <c r="AC20" s="7"/>
    </row>
    <row r="21" spans="1:29" ht="12.75">
      <c r="A21" t="s">
        <v>164</v>
      </c>
      <c r="B21" s="11">
        <v>0.022</v>
      </c>
      <c r="C21" t="s">
        <v>16</v>
      </c>
      <c r="E21" t="s">
        <v>96</v>
      </c>
      <c r="G21">
        <f>(G17*K17+G18*K18)*(J13*1000000/100)</f>
        <v>-276581047778.9676</v>
      </c>
      <c r="J21" t="s">
        <v>18</v>
      </c>
      <c r="K21" s="6">
        <f>-(I5*100*3)-(I7*100)+2*K17-(I6*100*B19)+(B19*K17)</f>
        <v>-246.86296557743077</v>
      </c>
      <c r="Y21" s="8"/>
      <c r="Z21" s="7"/>
      <c r="AA21" s="7"/>
      <c r="AB21" s="7"/>
      <c r="AC21" s="7"/>
    </row>
    <row r="22" spans="5:29" ht="12.75">
      <c r="E22" t="s">
        <v>97</v>
      </c>
      <c r="G22" s="62">
        <f>G20-G21</f>
        <v>62422075080.65219</v>
      </c>
      <c r="J22" t="s">
        <v>19</v>
      </c>
      <c r="K22" s="6">
        <f>(I5*100*I7*100-I5*100*2*K17-B19*I11*100*I6*100+I11*100*B19*K17)</f>
        <v>397.45043685096823</v>
      </c>
      <c r="N22" s="23" t="s">
        <v>9</v>
      </c>
      <c r="O22" s="23" t="s">
        <v>10</v>
      </c>
      <c r="P22" s="23" t="s">
        <v>36</v>
      </c>
      <c r="R22" s="23" t="s">
        <v>29</v>
      </c>
      <c r="S22" s="23" t="s">
        <v>35</v>
      </c>
      <c r="Y22" s="8"/>
      <c r="Z22" s="7"/>
      <c r="AA22" s="7"/>
      <c r="AB22" s="7"/>
      <c r="AC22" s="7"/>
    </row>
    <row r="23" spans="1:29" ht="12.75">
      <c r="A23" t="s">
        <v>24</v>
      </c>
      <c r="B23" s="10">
        <f>SUM(AF8:AF10)</f>
        <v>0.2208920235197365</v>
      </c>
      <c r="C23" t="s">
        <v>16</v>
      </c>
      <c r="E23" t="s">
        <v>99</v>
      </c>
      <c r="G23" s="30">
        <f>(G22*18/(G15*1000000000))</f>
        <v>36.24507585328192</v>
      </c>
      <c r="J23" t="s">
        <v>63</v>
      </c>
      <c r="K23" s="4">
        <f>(1-0.967)*L13</f>
        <v>1425.9116331857972</v>
      </c>
      <c r="M23" s="25" t="s">
        <v>68</v>
      </c>
      <c r="N23">
        <f>80.4+1.013</f>
        <v>81.41300000000001</v>
      </c>
      <c r="O23">
        <f>79.9+1.013</f>
        <v>80.91300000000001</v>
      </c>
      <c r="P23">
        <f>79.4+1.013</f>
        <v>80.41300000000001</v>
      </c>
      <c r="Q23" s="25" t="s">
        <v>30</v>
      </c>
      <c r="R23" s="24">
        <f>45.6171</f>
        <v>45.6171</v>
      </c>
      <c r="S23">
        <v>29.8605</v>
      </c>
      <c r="Y23" s="8"/>
      <c r="Z23" s="7"/>
      <c r="AA23" s="7"/>
      <c r="AB23" s="7"/>
      <c r="AC23" s="7"/>
    </row>
    <row r="24" spans="5:29" ht="12.75">
      <c r="E24" t="s">
        <v>106</v>
      </c>
      <c r="J24" t="s">
        <v>64</v>
      </c>
      <c r="K24" s="4">
        <f>0.967272*L13</f>
        <v>41795.28476529974</v>
      </c>
      <c r="Q24" s="25" t="s">
        <v>31</v>
      </c>
      <c r="R24" s="18">
        <f>-3.2447*10^3</f>
        <v>-3244.7</v>
      </c>
      <c r="S24">
        <f>-3.1522*10^3</f>
        <v>-3152.2000000000003</v>
      </c>
      <c r="Y24" s="8"/>
      <c r="Z24" s="7"/>
      <c r="AA24" s="7"/>
      <c r="AB24" s="7"/>
      <c r="AC24" s="7"/>
    </row>
    <row r="25" spans="1:29" ht="12.75">
      <c r="A25" t="s">
        <v>28</v>
      </c>
      <c r="B25" s="10">
        <f>SUM(I8:I10)</f>
        <v>0.17477566904273384</v>
      </c>
      <c r="C25" t="s">
        <v>16</v>
      </c>
      <c r="J25" t="s">
        <v>65</v>
      </c>
      <c r="K25" s="4">
        <f>K23+K24</f>
        <v>43221.19639848553</v>
      </c>
      <c r="L25" s="50"/>
      <c r="N25" s="50"/>
      <c r="Q25" s="25" t="s">
        <v>32</v>
      </c>
      <c r="R25" s="24">
        <f>-1.3988*10</f>
        <v>-13.988</v>
      </c>
      <c r="S25">
        <v>-7.3037</v>
      </c>
      <c r="Y25" s="8"/>
      <c r="Z25" s="7"/>
      <c r="AA25" s="7"/>
      <c r="AB25" s="7"/>
      <c r="AC25" s="7"/>
    </row>
    <row r="26" spans="6:19" ht="12.75">
      <c r="F26" t="s">
        <v>162</v>
      </c>
      <c r="J26" t="s">
        <v>66</v>
      </c>
      <c r="K26" s="4">
        <f>0.045*L13</f>
        <v>1944.4249543442672</v>
      </c>
      <c r="Q26" s="25" t="s">
        <v>33</v>
      </c>
      <c r="R26" s="24">
        <f>6.6365*10^-3</f>
        <v>0.0066365</v>
      </c>
      <c r="S26">
        <f>2.4247*10^-9</f>
        <v>2.4247E-09</v>
      </c>
    </row>
    <row r="27" spans="6:19" ht="12.75">
      <c r="F27" t="s">
        <v>0</v>
      </c>
      <c r="G27" s="10">
        <f>(J5-L5)/J5</f>
        <v>0.2437066290533279</v>
      </c>
      <c r="J27" t="s">
        <v>67</v>
      </c>
      <c r="K27" s="4">
        <f>(1-0.045)*L13</f>
        <v>41265.01847552833</v>
      </c>
      <c r="Q27" s="25" t="s">
        <v>34</v>
      </c>
      <c r="R27" s="24">
        <f>-1.0507*10^-13</f>
        <v>-1.0507E-13</v>
      </c>
      <c r="S27">
        <f>1.809*10^-6</f>
        <v>1.809E-06</v>
      </c>
    </row>
    <row r="28" spans="6:7" ht="12.75">
      <c r="F28" t="s">
        <v>1</v>
      </c>
      <c r="G28" s="10">
        <f>(J6-L6)/J6</f>
        <v>0.6969407536303548</v>
      </c>
    </row>
    <row r="29" spans="2:8" ht="12.75">
      <c r="B29" s="4"/>
      <c r="D29" s="4"/>
      <c r="E29" s="4"/>
      <c r="F29" s="4"/>
      <c r="G29" s="4"/>
      <c r="H29" s="4"/>
    </row>
    <row r="30" spans="4:8" ht="12.75">
      <c r="D30" s="4"/>
      <c r="E30" s="4"/>
      <c r="F30" s="4"/>
      <c r="G30" s="4"/>
      <c r="H30" s="4"/>
    </row>
    <row r="31" spans="23:29" ht="12.75">
      <c r="W31" s="4"/>
      <c r="X31" s="4"/>
      <c r="Y31" s="4"/>
      <c r="Z31" s="4"/>
      <c r="AA31" s="4"/>
      <c r="AB31" s="23"/>
      <c r="AC31" s="23"/>
    </row>
    <row r="32" spans="2:38" ht="12.75">
      <c r="B32" s="88" t="s">
        <v>190</v>
      </c>
      <c r="C32" s="92" t="s">
        <v>8</v>
      </c>
      <c r="D32" s="93"/>
      <c r="E32" s="92" t="s">
        <v>90</v>
      </c>
      <c r="F32" s="93"/>
      <c r="G32" s="92" t="s">
        <v>92</v>
      </c>
      <c r="H32" s="93"/>
      <c r="I32" s="92" t="s">
        <v>60</v>
      </c>
      <c r="J32" s="93"/>
      <c r="K32" s="92" t="s">
        <v>61</v>
      </c>
      <c r="L32" s="93"/>
      <c r="M32" s="92" t="s">
        <v>9</v>
      </c>
      <c r="N32" s="94"/>
      <c r="O32" s="94"/>
      <c r="P32" s="94"/>
      <c r="Q32" s="93"/>
      <c r="R32" s="94" t="s">
        <v>10</v>
      </c>
      <c r="S32" s="94"/>
      <c r="T32" s="94"/>
      <c r="U32" s="94"/>
      <c r="V32" s="94"/>
      <c r="W32" s="92" t="s">
        <v>36</v>
      </c>
      <c r="X32" s="94"/>
      <c r="Y32" s="94"/>
      <c r="Z32" s="94"/>
      <c r="AA32" s="67"/>
      <c r="AB32" s="92" t="s">
        <v>163</v>
      </c>
      <c r="AC32" s="94"/>
      <c r="AD32" s="92" t="s">
        <v>41</v>
      </c>
      <c r="AE32" s="93"/>
      <c r="AF32" s="92" t="s">
        <v>42</v>
      </c>
      <c r="AG32" s="93"/>
      <c r="AH32" s="92" t="s">
        <v>104</v>
      </c>
      <c r="AI32" s="93"/>
      <c r="AJ32" s="92" t="s">
        <v>62</v>
      </c>
      <c r="AK32" s="93"/>
      <c r="AL32" s="4"/>
    </row>
    <row r="33" spans="2:39" ht="12.75">
      <c r="B33" s="74" t="s">
        <v>137</v>
      </c>
      <c r="C33" s="71"/>
      <c r="D33" s="72"/>
      <c r="E33" s="71"/>
      <c r="F33" s="72"/>
      <c r="G33" s="71"/>
      <c r="H33" s="72"/>
      <c r="I33" s="71"/>
      <c r="J33" s="72"/>
      <c r="K33" s="71"/>
      <c r="L33" s="72"/>
      <c r="M33" s="95" t="s">
        <v>144</v>
      </c>
      <c r="N33" s="97"/>
      <c r="O33" s="95" t="s">
        <v>145</v>
      </c>
      <c r="P33" s="97"/>
      <c r="Q33" s="74" t="s">
        <v>146</v>
      </c>
      <c r="R33" s="96" t="s">
        <v>144</v>
      </c>
      <c r="S33" s="97"/>
      <c r="T33" s="95" t="s">
        <v>145</v>
      </c>
      <c r="U33" s="97"/>
      <c r="V33" s="71" t="s">
        <v>146</v>
      </c>
      <c r="W33" s="95" t="s">
        <v>144</v>
      </c>
      <c r="X33" s="96"/>
      <c r="Y33" s="95" t="s">
        <v>145</v>
      </c>
      <c r="Z33" s="97"/>
      <c r="AA33" s="73" t="s">
        <v>146</v>
      </c>
      <c r="AB33" s="75"/>
      <c r="AC33" s="75"/>
      <c r="AD33" s="71"/>
      <c r="AE33" s="72"/>
      <c r="AF33" s="71"/>
      <c r="AG33" s="76"/>
      <c r="AH33" s="71"/>
      <c r="AI33" s="76"/>
      <c r="AJ33" s="71"/>
      <c r="AK33" s="72"/>
      <c r="AL33" s="4"/>
      <c r="AM33" s="4"/>
    </row>
    <row r="34" spans="2:39" ht="12.75">
      <c r="B34" s="61" t="s">
        <v>78</v>
      </c>
      <c r="C34" s="82"/>
      <c r="D34" s="83">
        <f>D13*Entalpi!G36/3600</f>
        <v>-176811.52104542905</v>
      </c>
      <c r="E34" s="82"/>
      <c r="F34" s="83">
        <f>F13*Entalpi!G51/3600</f>
        <v>-173286.72322709713</v>
      </c>
      <c r="G34" s="82"/>
      <c r="H34" s="83">
        <f>H13*Entalpi!G65/3600</f>
        <v>-609847.9253891876</v>
      </c>
      <c r="I34" s="82"/>
      <c r="J34" s="83">
        <f>J13*Entalpi!G80/3600</f>
        <v>-587456.9811654396</v>
      </c>
      <c r="K34" s="82"/>
      <c r="L34" s="83">
        <f>L13*Entalpi!G95/3600</f>
        <v>-646945.5846927474</v>
      </c>
      <c r="M34" s="82"/>
      <c r="N34" s="84">
        <f>N13*Entalpi!O110/3600</f>
        <v>-110261.87334117993</v>
      </c>
      <c r="O34" s="84"/>
      <c r="P34" s="84">
        <f>P13*Entalpi!G110/3600</f>
        <v>-562419.7685642927</v>
      </c>
      <c r="Q34" s="83">
        <f>N34+P34</f>
        <v>-672681.6419054726</v>
      </c>
      <c r="R34" s="84"/>
      <c r="S34" s="84">
        <f>S13*Entalpi!O125/3600</f>
        <v>-144839.03510575945</v>
      </c>
      <c r="T34" s="84"/>
      <c r="U34" s="84">
        <f>U13*Entalpi!G125/3600</f>
        <v>-536562.277743137</v>
      </c>
      <c r="V34" s="84">
        <f>S34+U34</f>
        <v>-681401.3128488965</v>
      </c>
      <c r="W34" s="85"/>
      <c r="X34" s="86">
        <f>X13*Entalpi!O140/3600</f>
        <v>-280176.43736966536</v>
      </c>
      <c r="Y34" s="86"/>
      <c r="Z34" s="86">
        <f>Z13*Entalpi!G140/3600</f>
        <v>-446525.95730742475</v>
      </c>
      <c r="AA34" s="87">
        <f>X34+Z34</f>
        <v>-726702.3946770901</v>
      </c>
      <c r="AB34" s="84"/>
      <c r="AC34" s="84">
        <f>Z34</f>
        <v>-446525.95730742475</v>
      </c>
      <c r="AD34" s="84"/>
      <c r="AE34" s="84">
        <f>AE13*Entalpi!G140/3600</f>
        <v>-9823.571060763345</v>
      </c>
      <c r="AF34" s="85"/>
      <c r="AG34" s="87">
        <f>AG13*Entalpi!G140/3600</f>
        <v>-436702.38624666136</v>
      </c>
      <c r="AH34" s="86"/>
      <c r="AI34" s="86">
        <f>Entalpi!G155*AI13/3600</f>
        <v>-434733.88649190305</v>
      </c>
      <c r="AJ34" s="85"/>
      <c r="AK34" s="87">
        <f>X34</f>
        <v>-280176.43736966536</v>
      </c>
      <c r="AL34" s="4"/>
      <c r="AM34" s="4"/>
    </row>
    <row r="35" spans="2:39" ht="12.75">
      <c r="B35" s="8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>
      <c r="B36" s="81"/>
      <c r="C36" s="4"/>
      <c r="D36" s="7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8" ht="12.75">
      <c r="B37" s="8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9" spans="1:6" ht="12.75">
      <c r="A39" s="25"/>
      <c r="D39" t="s">
        <v>8</v>
      </c>
      <c r="E39" s="77">
        <f>$D$34</f>
        <v>-176811.52104542905</v>
      </c>
      <c r="F39" s="6">
        <f>Entalpi!G36</f>
        <v>-56832.274621745055</v>
      </c>
    </row>
    <row r="40" spans="4:12" ht="12.75">
      <c r="D40" t="s">
        <v>90</v>
      </c>
      <c r="E40" s="77">
        <f>$F$34</f>
        <v>-173286.72322709713</v>
      </c>
      <c r="F40" s="6">
        <f>Entalpi!G51</f>
        <v>-55699.303894424076</v>
      </c>
      <c r="L40" s="77"/>
    </row>
    <row r="41" spans="4:35" ht="12.75">
      <c r="D41" t="s">
        <v>92</v>
      </c>
      <c r="E41" s="77">
        <f>H34</f>
        <v>-609847.9253891876</v>
      </c>
      <c r="F41" s="6">
        <f>Entalpi!G65</f>
        <v>-44336.43419431761</v>
      </c>
      <c r="L41" s="35"/>
      <c r="M41" s="4"/>
      <c r="N41" s="4"/>
      <c r="O41" s="4"/>
      <c r="P41" s="4"/>
      <c r="Q41" s="4"/>
      <c r="R41" s="4"/>
      <c r="S41" s="4"/>
      <c r="T41" s="4"/>
      <c r="U41" s="4"/>
      <c r="V41" s="4"/>
      <c r="AD41" s="4"/>
      <c r="AE41" s="4"/>
      <c r="AF41" s="4"/>
      <c r="AG41" s="4"/>
      <c r="AH41" s="4"/>
      <c r="AI41" s="4"/>
    </row>
    <row r="42" spans="4:36" ht="12.75">
      <c r="D42" t="s">
        <v>60</v>
      </c>
      <c r="E42" s="77">
        <f>J34</f>
        <v>-587456.9811654396</v>
      </c>
      <c r="F42" s="6">
        <f>Entalpi!G80</f>
        <v>-42708.594557917546</v>
      </c>
      <c r="M42" s="4"/>
      <c r="N42" s="4"/>
      <c r="O42" s="4"/>
      <c r="P42" s="4"/>
      <c r="Q42" s="4"/>
      <c r="R42" s="4"/>
      <c r="S42" s="4"/>
      <c r="T42" s="4"/>
      <c r="U42" s="4"/>
      <c r="V42" s="4"/>
      <c r="AJ42" s="4"/>
    </row>
    <row r="43" spans="4:36" ht="12.75">
      <c r="D43" t="s">
        <v>61</v>
      </c>
      <c r="E43" s="77">
        <f>L34</f>
        <v>-646945.5846927474</v>
      </c>
      <c r="F43" s="6">
        <f>Entalpi!G95</f>
        <v>-53900.34955376785</v>
      </c>
      <c r="AJ43" s="4"/>
    </row>
    <row r="44" spans="4:36" ht="12.75">
      <c r="D44" t="s">
        <v>9</v>
      </c>
      <c r="E44" s="77">
        <f>Q34</f>
        <v>-672681.6419054726</v>
      </c>
      <c r="F44">
        <f>Entalpi!G110+Entalpi!O110</f>
        <v>-314637.6366252317</v>
      </c>
      <c r="AJ44" s="4"/>
    </row>
    <row r="45" spans="4:36" ht="12.75">
      <c r="D45" t="s">
        <v>10</v>
      </c>
      <c r="E45" s="77">
        <f>V34</f>
        <v>-681401.3128488965</v>
      </c>
      <c r="F45">
        <f>Entalpi!G125+Entalpi!O125</f>
        <v>-307278.4925175675</v>
      </c>
      <c r="AJ45" s="4"/>
    </row>
    <row r="46" spans="4:36" ht="12.75">
      <c r="D46" t="s">
        <v>36</v>
      </c>
      <c r="E46" s="77">
        <f>AA34</f>
        <v>-726702.3946770901</v>
      </c>
      <c r="F46">
        <f>Entalpi!G140+Entalpi!O140</f>
        <v>-291343.55671446194</v>
      </c>
      <c r="AJ46" s="4"/>
    </row>
    <row r="47" spans="4:36" ht="12.75">
      <c r="D47" t="s">
        <v>163</v>
      </c>
      <c r="E47" s="77">
        <f>AC34</f>
        <v>-446525.95730742475</v>
      </c>
      <c r="F47">
        <f>Entalpi!G140</f>
        <v>-41028.43783238953</v>
      </c>
      <c r="AJ47" s="4"/>
    </row>
    <row r="48" spans="4:36" ht="12.75">
      <c r="D48" t="s">
        <v>41</v>
      </c>
      <c r="E48" s="77">
        <f>AE34</f>
        <v>-9823.571060763345</v>
      </c>
      <c r="F48">
        <f>Entalpi!G140</f>
        <v>-41028.43783238953</v>
      </c>
      <c r="AJ48" s="4"/>
    </row>
    <row r="49" spans="4:36" ht="12.75">
      <c r="D49" t="s">
        <v>42</v>
      </c>
      <c r="E49" s="77">
        <f>AG34</f>
        <v>-436702.38624666136</v>
      </c>
      <c r="F49">
        <f>Entalpi!G140</f>
        <v>-41028.43783238953</v>
      </c>
      <c r="AJ49" s="4"/>
    </row>
    <row r="50" spans="4:36" ht="12.75">
      <c r="D50" t="s">
        <v>104</v>
      </c>
      <c r="E50" s="77">
        <f>AI34</f>
        <v>-434733.88649190305</v>
      </c>
      <c r="F50">
        <f>Entalpi!G155</f>
        <v>-40843.496159628536</v>
      </c>
      <c r="AJ50" s="4"/>
    </row>
    <row r="51" spans="4:36" ht="12.75">
      <c r="D51" t="s">
        <v>62</v>
      </c>
      <c r="E51" s="77">
        <f>AK34</f>
        <v>-280176.43736966536</v>
      </c>
      <c r="F51">
        <f>Entalpi!O140</f>
        <v>-250315.1188820724</v>
      </c>
      <c r="AJ51" s="4"/>
    </row>
    <row r="54" spans="2:22" ht="12.75">
      <c r="B54" s="23" t="s">
        <v>46</v>
      </c>
      <c r="C54" s="23" t="s">
        <v>47</v>
      </c>
      <c r="D54" s="23" t="s">
        <v>48</v>
      </c>
      <c r="E54" s="23" t="s">
        <v>49</v>
      </c>
      <c r="F54" s="23" t="s">
        <v>50</v>
      </c>
      <c r="G54" s="23" t="s">
        <v>51</v>
      </c>
      <c r="H54" s="23" t="s">
        <v>52</v>
      </c>
      <c r="I54" s="23" t="s">
        <v>53</v>
      </c>
      <c r="J54" s="23" t="s">
        <v>54</v>
      </c>
      <c r="K54" s="23" t="s">
        <v>55</v>
      </c>
      <c r="P54" s="4"/>
      <c r="Q54" s="4"/>
      <c r="R54" s="4"/>
      <c r="S54" s="4"/>
      <c r="T54" s="4"/>
      <c r="U54" s="4"/>
      <c r="V54" s="4"/>
    </row>
    <row r="55" spans="1:11" ht="12.75">
      <c r="A55" s="25" t="s">
        <v>30</v>
      </c>
      <c r="B55">
        <f>34.942</f>
        <v>34.942</v>
      </c>
      <c r="C55">
        <v>29.556</v>
      </c>
      <c r="D55">
        <f>27.437</f>
        <v>27.437</v>
      </c>
      <c r="E55">
        <v>20.786</v>
      </c>
      <c r="F55">
        <f>25.399</f>
        <v>25.399</v>
      </c>
      <c r="G55">
        <f>29.342</f>
        <v>29.342</v>
      </c>
      <c r="H55">
        <f>40.046</f>
        <v>40.046</v>
      </c>
      <c r="I55">
        <f>40.152</f>
        <v>40.152</v>
      </c>
      <c r="J55">
        <f>33.933</f>
        <v>33.933</v>
      </c>
      <c r="K55">
        <f>92.053</f>
        <v>92.053</v>
      </c>
    </row>
    <row r="56" spans="1:11" ht="12.75">
      <c r="A56" s="25" t="s">
        <v>31</v>
      </c>
      <c r="B56">
        <f>-3.9957*10^-2</f>
        <v>-0.039957</v>
      </c>
      <c r="C56">
        <f>-6.5807*10^-3</f>
        <v>-0.0065807</v>
      </c>
      <c r="D56">
        <f>4.2315*10^-2</f>
        <v>0.042315</v>
      </c>
      <c r="E56">
        <f>0</f>
        <v>0</v>
      </c>
      <c r="F56">
        <f>2.0178*10^-2</f>
        <v>0.020177999999999998</v>
      </c>
      <c r="G56">
        <f>-3.5395*10^-3</f>
        <v>-0.0035395</v>
      </c>
      <c r="H56">
        <f>-3.8287*10^-2</f>
        <v>-0.038287</v>
      </c>
      <c r="I56">
        <f>3.1046*10^-1</f>
        <v>0.31046</v>
      </c>
      <c r="J56">
        <f>-8.4186*10^-3</f>
        <v>-0.0084186</v>
      </c>
      <c r="K56">
        <f>-3.9953*10^-2</f>
        <v>-0.039953</v>
      </c>
    </row>
    <row r="57" spans="1:11" ht="12.75">
      <c r="A57" s="25" t="s">
        <v>32</v>
      </c>
      <c r="B57">
        <f>1.9184*10^-4</f>
        <v>0.00019184</v>
      </c>
      <c r="C57">
        <f>2.013*10^-5</f>
        <v>2.0130000000000002E-05</v>
      </c>
      <c r="D57">
        <f>-1.9555*10^-5</f>
        <v>-1.9555E-05</v>
      </c>
      <c r="E57">
        <f>0</f>
        <v>0</v>
      </c>
      <c r="F57">
        <f>-3.8549*10^-5</f>
        <v>-3.8549000000000006E-05</v>
      </c>
      <c r="G57">
        <f>1.0076*10^-5</f>
        <v>1.0076000000000001E-05</v>
      </c>
      <c r="H57">
        <f>2.4529*10^-4</f>
        <v>0.00024529</v>
      </c>
      <c r="I57">
        <f>-1.0291*10^-3</f>
        <v>-0.0010291</v>
      </c>
      <c r="J57">
        <f>2.9906*10^-5</f>
        <v>2.9906000000000005E-05</v>
      </c>
      <c r="K57">
        <f>-2.1103*10^-4</f>
        <v>-0.00021103000000000002</v>
      </c>
    </row>
    <row r="58" spans="1:11" ht="12.75">
      <c r="A58" s="25" t="s">
        <v>33</v>
      </c>
      <c r="B58">
        <f>-1.5303*10^-7</f>
        <v>-1.5303E-07</v>
      </c>
      <c r="C58">
        <f>-1.2227*10^-8</f>
        <v>-1.2227E-08</v>
      </c>
      <c r="D58">
        <f>3.9968*10^-9</f>
        <v>3.9968E-09</v>
      </c>
      <c r="E58">
        <f>0</f>
        <v>0</v>
      </c>
      <c r="F58">
        <f>3.188*10^-8</f>
        <v>3.1880000000000005E-08</v>
      </c>
      <c r="G58">
        <f>-4.3116*10^-9</f>
        <v>-4.311600000000001E-09</v>
      </c>
      <c r="H58">
        <f>-2.1679*10^-7</f>
        <v>-2.1678999999999997E-07</v>
      </c>
      <c r="I58">
        <f>1.4598*10^-6</f>
        <v>1.4598E-06</v>
      </c>
      <c r="J58">
        <f>-1.7825*10^-8</f>
        <v>-1.7825E-08</v>
      </c>
      <c r="K58">
        <f>5.3469*10^-7</f>
        <v>5.3469E-07</v>
      </c>
    </row>
    <row r="59" spans="1:10" ht="12.75">
      <c r="A59" s="25" t="s">
        <v>34</v>
      </c>
      <c r="B59">
        <f>3.9321*10^-11</f>
        <v>3.9321E-11</v>
      </c>
      <c r="C59">
        <f>2.2617*10^-12</f>
        <v>2.2617E-12</v>
      </c>
      <c r="D59">
        <f>-2.9872*10^-13</f>
        <v>-2.9872E-13</v>
      </c>
      <c r="E59">
        <f>0</f>
        <v>0</v>
      </c>
      <c r="F59">
        <f>-8.7585*10^-12</f>
        <v>-8.758499999999999E-12</v>
      </c>
      <c r="G59">
        <f>2.5935*10^-13</f>
        <v>2.5935E-13</v>
      </c>
      <c r="H59">
        <f>5.9909*10^-11</f>
        <v>5.9909E-11</v>
      </c>
      <c r="J59">
        <f>3.6934*10^-12</f>
        <v>3.6933999999999996E-12</v>
      </c>
    </row>
    <row r="61" spans="2:59" ht="12.75">
      <c r="B61" s="23" t="s">
        <v>186</v>
      </c>
      <c r="C61" s="23"/>
      <c r="D61" s="23"/>
      <c r="E61" s="23"/>
      <c r="F61" s="23"/>
      <c r="G61" s="23"/>
      <c r="H61" s="23"/>
      <c r="I61" s="23"/>
      <c r="J61" s="23"/>
      <c r="K61" s="2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11" ht="12.75">
      <c r="A62">
        <f>391+0.15</f>
        <v>391.15</v>
      </c>
      <c r="B62">
        <f aca="true" t="shared" si="27" ref="B62:B73">$B$55+$B$56*A62+$B$57*A62^2+$B$58*A62^3+$B$59*A62^4</f>
        <v>40.42633742621728</v>
      </c>
      <c r="C62">
        <f aca="true" t="shared" si="28" ref="C62:C72">$C$55+$C$56*A62+$C$57*A62^2+$C$58*A62^3+$C$59*A62^4</f>
        <v>29.383029993413317</v>
      </c>
      <c r="D62">
        <f aca="true" t="shared" si="29" ref="D62:D73">$D$55+$D$56*$A62+$D$57*$A62^2+$D$58*$A62^3+$D$59*$A62^4</f>
        <v>41.22882714081231</v>
      </c>
      <c r="E62">
        <f>E55</f>
        <v>20.786</v>
      </c>
      <c r="F62">
        <f aca="true" t="shared" si="30" ref="F62:F73">$F$55+$F$56*$A62+$F$57*$A62^2+$F$58*$A62^3+$F$59*$A62^4</f>
        <v>29.09653710309878</v>
      </c>
      <c r="G62">
        <f aca="true" t="shared" si="31" ref="G62:G73">$G$55+$G$56*$A62+$G$57*$A62^2+$G$58*$A62^3+$G$59*$A62^4</f>
        <v>29.247177694586604</v>
      </c>
      <c r="H62">
        <f aca="true" t="shared" si="32" ref="H62:H78">$H$55+$H$56*$A62+$H$57*$A62^2+$H$58*$A62^3+$H$59*$A62^4</f>
        <v>51.02751625215801</v>
      </c>
      <c r="I62">
        <f aca="true" t="shared" si="33" ref="I62:I78">$I$55+$I$56*$A62+$I$57*$A62^2+$I$58*$A62^3+$I$59*$A62^4</f>
        <v>91.50001527145835</v>
      </c>
      <c r="J62">
        <f aca="true" t="shared" si="34" ref="J62:J78">$J$55+$J$56*$A62+$J$57*$A62^2+$J$58*$A62^3+$J$59*$A62^4</f>
        <v>34.23534698461505</v>
      </c>
      <c r="K62">
        <f aca="true" t="shared" si="35" ref="K62:K78">$K$55+$K$56*$A62+$K$57*$A62^2+$K$58*$A62^3+$K$59*$A62^4</f>
        <v>76.13682821927588</v>
      </c>
    </row>
    <row r="63" spans="1:11" ht="12.75">
      <c r="A63" s="25">
        <f>383+0.15</f>
        <v>383.15</v>
      </c>
      <c r="B63">
        <f t="shared" si="27"/>
        <v>40.03514257163131</v>
      </c>
      <c r="C63">
        <f t="shared" si="28"/>
        <v>29.350767184075423</v>
      </c>
      <c r="D63">
        <f t="shared" si="29"/>
        <v>40.99761541206561</v>
      </c>
      <c r="E63">
        <f>E55</f>
        <v>20.786</v>
      </c>
      <c r="F63">
        <f t="shared" si="30"/>
        <v>29.075482209920548</v>
      </c>
      <c r="G63">
        <f t="shared" si="31"/>
        <v>29.22810770713641</v>
      </c>
      <c r="H63">
        <f t="shared" si="32"/>
        <v>50.48300521630233</v>
      </c>
      <c r="I63">
        <f t="shared" si="33"/>
        <v>90.13955021324632</v>
      </c>
      <c r="J63">
        <f t="shared" si="34"/>
        <v>34.174710200449944</v>
      </c>
      <c r="K63">
        <f t="shared" si="35"/>
        <v>75.8401781833673</v>
      </c>
    </row>
    <row r="64" spans="1:11" ht="12.75">
      <c r="A64" s="25">
        <f>308+0.15</f>
        <v>308.15</v>
      </c>
      <c r="B64">
        <f t="shared" si="27"/>
        <v>36.722453546569625</v>
      </c>
      <c r="C64">
        <f t="shared" si="28"/>
        <v>29.102251134843737</v>
      </c>
      <c r="D64">
        <f t="shared" si="29"/>
        <v>38.733750584509075</v>
      </c>
      <c r="E64">
        <f>E55</f>
        <v>20.786</v>
      </c>
      <c r="F64">
        <f t="shared" si="30"/>
        <v>28.810237600283333</v>
      </c>
      <c r="G64">
        <f t="shared" si="31"/>
        <v>29.08426151662383</v>
      </c>
      <c r="H64">
        <f t="shared" si="32"/>
        <v>45.73645112051931</v>
      </c>
      <c r="I64">
        <f t="shared" si="33"/>
        <v>80.81554196725881</v>
      </c>
      <c r="J64">
        <f t="shared" si="34"/>
        <v>33.69030339806053</v>
      </c>
      <c r="K64">
        <f t="shared" si="35"/>
        <v>75.34829790758667</v>
      </c>
    </row>
    <row r="65" spans="1:11" ht="12.75">
      <c r="A65">
        <f>528+0.15</f>
        <v>528.15</v>
      </c>
      <c r="B65">
        <f t="shared" si="27"/>
        <v>47.86564146798443</v>
      </c>
      <c r="C65">
        <f t="shared" si="28"/>
        <v>30.07017088637005</v>
      </c>
      <c r="D65">
        <f t="shared" si="29"/>
        <v>44.896527437615624</v>
      </c>
      <c r="E65">
        <f>E55</f>
        <v>20.786</v>
      </c>
      <c r="F65">
        <f t="shared" si="30"/>
        <v>29.318241504080223</v>
      </c>
      <c r="G65">
        <f t="shared" si="31"/>
        <v>29.668216910043792</v>
      </c>
      <c r="H65">
        <f t="shared" si="32"/>
        <v>60.96971100788447</v>
      </c>
      <c r="I65">
        <f t="shared" si="33"/>
        <v>132.12456036448881</v>
      </c>
      <c r="J65">
        <f t="shared" si="34"/>
        <v>35.490107470565995</v>
      </c>
      <c r="K65">
        <f t="shared" si="35"/>
        <v>90.85897400049316</v>
      </c>
    </row>
    <row r="66" spans="1:11" ht="12.75">
      <c r="A66" s="25">
        <f>498+0.15</f>
        <v>498.15</v>
      </c>
      <c r="B66">
        <f t="shared" si="27"/>
        <v>46.14735944027877</v>
      </c>
      <c r="C66">
        <f t="shared" si="28"/>
        <v>29.900955719368927</v>
      </c>
      <c r="D66">
        <f t="shared" si="29"/>
        <v>44.13925679250373</v>
      </c>
      <c r="E66">
        <f aca="true" t="shared" si="36" ref="E66:E71">E65</f>
        <v>20.786</v>
      </c>
      <c r="F66">
        <f t="shared" si="30"/>
        <v>29.286184887504405</v>
      </c>
      <c r="G66">
        <f t="shared" si="31"/>
        <v>29.56217300213982</v>
      </c>
      <c r="H66">
        <f t="shared" si="32"/>
        <v>58.73302198188334</v>
      </c>
      <c r="I66">
        <f t="shared" si="33"/>
        <v>119.88997441059385</v>
      </c>
      <c r="J66">
        <f t="shared" si="34"/>
        <v>35.184506473817535</v>
      </c>
      <c r="K66">
        <f t="shared" si="35"/>
        <v>85.87970550415591</v>
      </c>
    </row>
    <row r="67" spans="1:11" ht="12.75">
      <c r="A67">
        <f>349.5+0.15</f>
        <v>349.65</v>
      </c>
      <c r="B67">
        <f t="shared" si="27"/>
        <v>38.4706642584573</v>
      </c>
      <c r="C67">
        <f t="shared" si="28"/>
        <v>29.227196442210946</v>
      </c>
      <c r="D67">
        <f t="shared" si="29"/>
        <v>40.00812529181946</v>
      </c>
      <c r="E67">
        <f t="shared" si="36"/>
        <v>20.786</v>
      </c>
      <c r="F67">
        <f t="shared" si="30"/>
        <v>28.9732762172153</v>
      </c>
      <c r="G67">
        <f t="shared" si="31"/>
        <v>29.155826941254723</v>
      </c>
      <c r="H67">
        <f t="shared" si="32"/>
        <v>48.275313720442576</v>
      </c>
      <c r="I67">
        <f t="shared" si="33"/>
        <v>85.29293836443608</v>
      </c>
      <c r="J67">
        <f t="shared" si="34"/>
        <v>33.93884449687149</v>
      </c>
      <c r="K67">
        <f t="shared" si="35"/>
        <v>75.14006304915141</v>
      </c>
    </row>
    <row r="68" spans="1:11" ht="12.75">
      <c r="A68" s="25">
        <v>313.15</v>
      </c>
      <c r="B68">
        <f t="shared" si="27"/>
        <v>36.920673388704024</v>
      </c>
      <c r="C68">
        <f t="shared" si="28"/>
        <v>29.115538035876433</v>
      </c>
      <c r="D68">
        <f t="shared" si="29"/>
        <v>38.89018455822291</v>
      </c>
      <c r="E68">
        <f t="shared" si="36"/>
        <v>20.786</v>
      </c>
      <c r="F68">
        <f t="shared" si="30"/>
        <v>28.832272340240394</v>
      </c>
      <c r="G68">
        <f t="shared" si="31"/>
        <v>29.09177922358484</v>
      </c>
      <c r="H68">
        <f t="shared" si="32"/>
        <v>46.029110387161566</v>
      </c>
      <c r="I68">
        <f t="shared" si="33"/>
        <v>81.28412387849131</v>
      </c>
      <c r="J68">
        <f t="shared" si="34"/>
        <v>33.717524843984414</v>
      </c>
      <c r="K68">
        <f t="shared" si="35"/>
        <v>75.26697614629705</v>
      </c>
    </row>
    <row r="69" spans="1:11" ht="12.75">
      <c r="A69" s="25">
        <v>285.15</v>
      </c>
      <c r="B69">
        <f t="shared" si="27"/>
        <v>35.85873200687432</v>
      </c>
      <c r="C69">
        <f t="shared" si="28"/>
        <v>29.047755719956335</v>
      </c>
      <c r="D69">
        <f t="shared" si="29"/>
        <v>38.00378861252304</v>
      </c>
      <c r="E69">
        <f t="shared" si="36"/>
        <v>20.786</v>
      </c>
      <c r="F69">
        <f t="shared" si="30"/>
        <v>28.699571384131804</v>
      </c>
      <c r="G69">
        <f t="shared" si="31"/>
        <v>29.053743621898846</v>
      </c>
      <c r="H69">
        <f t="shared" si="32"/>
        <v>44.442775515214294</v>
      </c>
      <c r="I69">
        <f t="shared" si="33"/>
        <v>78.8494885728293</v>
      </c>
      <c r="J69">
        <f t="shared" si="34"/>
        <v>33.57524222246923</v>
      </c>
      <c r="K69">
        <f t="shared" si="35"/>
        <v>75.89860200884095</v>
      </c>
    </row>
    <row r="70" spans="1:11" ht="12.75">
      <c r="A70" s="25">
        <v>378.15</v>
      </c>
      <c r="B70">
        <f t="shared" si="27"/>
        <v>39.79391516762534</v>
      </c>
      <c r="C70">
        <f t="shared" si="28"/>
        <v>29.331125636276177</v>
      </c>
      <c r="D70">
        <f t="shared" si="29"/>
        <v>40.85211921088893</v>
      </c>
      <c r="E70">
        <f t="shared" si="36"/>
        <v>20.786</v>
      </c>
      <c r="F70">
        <f t="shared" si="30"/>
        <v>29.06170122309876</v>
      </c>
      <c r="G70">
        <f t="shared" si="31"/>
        <v>29.216535853295273</v>
      </c>
      <c r="H70">
        <f t="shared" si="32"/>
        <v>50.145838189334505</v>
      </c>
      <c r="I70">
        <f t="shared" si="33"/>
        <v>89.3317205750138</v>
      </c>
      <c r="J70">
        <f t="shared" si="34"/>
        <v>34.137633418714294</v>
      </c>
      <c r="K70">
        <f t="shared" si="35"/>
        <v>75.68110818780691</v>
      </c>
    </row>
    <row r="71" spans="1:11" ht="12.75">
      <c r="A71" s="25">
        <v>300.15</v>
      </c>
      <c r="B71">
        <f t="shared" si="27"/>
        <v>36.41290313013544</v>
      </c>
      <c r="C71">
        <f t="shared" si="28"/>
        <v>29.082047043815802</v>
      </c>
      <c r="D71">
        <f t="shared" si="29"/>
        <v>38.48178793646653</v>
      </c>
      <c r="E71">
        <f t="shared" si="36"/>
        <v>20.786</v>
      </c>
      <c r="F71">
        <f t="shared" si="30"/>
        <v>28.77351236417384</v>
      </c>
      <c r="G71">
        <f t="shared" si="31"/>
        <v>29.072883174207703</v>
      </c>
      <c r="H71">
        <f t="shared" si="32"/>
        <v>45.276458337232846</v>
      </c>
      <c r="I71">
        <f t="shared" si="33"/>
        <v>80.09867831112682</v>
      </c>
      <c r="J71">
        <f t="shared" si="34"/>
        <v>33.648368567338366</v>
      </c>
      <c r="K71">
        <f t="shared" si="35"/>
        <v>75.50770537610208</v>
      </c>
    </row>
    <row r="72" spans="1:11" ht="12.75">
      <c r="A72" s="63">
        <f>B113</f>
        <v>498.68761576180276</v>
      </c>
      <c r="B72">
        <f t="shared" si="27"/>
        <v>46.17784394830631</v>
      </c>
      <c r="C72">
        <f t="shared" si="28"/>
        <v>29.903909086821987</v>
      </c>
      <c r="D72">
        <f t="shared" si="29"/>
        <v>44.153048015265696</v>
      </c>
      <c r="E72">
        <f>E71</f>
        <v>20.786</v>
      </c>
      <c r="F72">
        <f t="shared" si="30"/>
        <v>29.286815019981713</v>
      </c>
      <c r="G72">
        <f t="shared" si="31"/>
        <v>29.564011542805154</v>
      </c>
      <c r="H72">
        <f t="shared" si="32"/>
        <v>58.77298443476833</v>
      </c>
      <c r="I72">
        <f t="shared" si="33"/>
        <v>120.09026358821552</v>
      </c>
      <c r="J72">
        <f t="shared" si="34"/>
        <v>35.18984915461523</v>
      </c>
      <c r="K72">
        <f t="shared" si="35"/>
        <v>85.95936379728073</v>
      </c>
    </row>
    <row r="73" spans="1:11" ht="12.75">
      <c r="A73" s="25">
        <f>B112</f>
        <v>339.25</v>
      </c>
      <c r="B73">
        <f t="shared" si="27"/>
        <v>38.011425085945206</v>
      </c>
      <c r="C73">
        <f>$C$55+$C$56*A73+$C$57*A73^2+$C$58*A73^3+$C$59*A73^4</f>
        <v>29.192831883588937</v>
      </c>
      <c r="D73">
        <f t="shared" si="29"/>
        <v>39.69386395470947</v>
      </c>
      <c r="E73">
        <f>E72</f>
        <v>20.786</v>
      </c>
      <c r="F73">
        <f t="shared" si="30"/>
        <v>28.936484547473764</v>
      </c>
      <c r="G73">
        <f t="shared" si="31"/>
        <v>29.135968289523937</v>
      </c>
      <c r="H73">
        <f t="shared" si="32"/>
        <v>47.616792836195295</v>
      </c>
      <c r="I73">
        <f t="shared" si="33"/>
        <v>84.03297929564687</v>
      </c>
      <c r="J73">
        <f t="shared" si="34"/>
        <v>33.871842751556464</v>
      </c>
      <c r="K73">
        <f t="shared" si="35"/>
        <v>75.08807278944015</v>
      </c>
    </row>
    <row r="74" spans="1:11" ht="12.75">
      <c r="A74" s="25">
        <f>$B$80</f>
        <v>373.15</v>
      </c>
      <c r="J74">
        <f t="shared" si="34"/>
        <v>34.10119930703698</v>
      </c>
      <c r="K74">
        <f t="shared" si="35"/>
        <v>75.54181564577155</v>
      </c>
    </row>
    <row r="75" spans="1:11" ht="12.75">
      <c r="A75" s="25">
        <f>$B$81</f>
        <v>337.84999999999997</v>
      </c>
      <c r="H75">
        <f t="shared" si="32"/>
        <v>47.52921642264279</v>
      </c>
      <c r="I75">
        <f t="shared" si="33"/>
        <v>83.87112968522017</v>
      </c>
      <c r="J75">
        <f t="shared" si="34"/>
        <v>33.863057871403555</v>
      </c>
      <c r="K75">
        <f t="shared" si="35"/>
        <v>75.08665724869077</v>
      </c>
    </row>
    <row r="76" spans="1:11" ht="12.75">
      <c r="A76" s="25">
        <f>$B$82</f>
        <v>459.65</v>
      </c>
      <c r="H76">
        <f t="shared" si="32"/>
        <v>55.89269404549858</v>
      </c>
      <c r="I76">
        <f t="shared" si="33"/>
        <v>107.19562428785107</v>
      </c>
      <c r="J76">
        <f t="shared" si="34"/>
        <v>34.81568482037005</v>
      </c>
      <c r="K76">
        <f t="shared" si="35"/>
        <v>81.02846014104465</v>
      </c>
    </row>
    <row r="77" spans="1:11" ht="12.75">
      <c r="A77" s="25">
        <f>$B$83</f>
        <v>387.15</v>
      </c>
      <c r="H77">
        <f t="shared" si="32"/>
        <v>50.75450270191229</v>
      </c>
      <c r="I77">
        <f t="shared" si="33"/>
        <v>90.80912058699232</v>
      </c>
      <c r="J77">
        <f t="shared" si="34"/>
        <v>34.20482819689869</v>
      </c>
      <c r="K77">
        <f t="shared" si="35"/>
        <v>75.98194343011359</v>
      </c>
    </row>
    <row r="78" spans="1:11" ht="12.75">
      <c r="A78" s="25">
        <f>$B$84</f>
        <v>345.65</v>
      </c>
      <c r="H78">
        <f t="shared" si="32"/>
        <v>48.02040424296924</v>
      </c>
      <c r="I78">
        <f t="shared" si="33"/>
        <v>84.79602163869005</v>
      </c>
      <c r="J78">
        <f t="shared" si="34"/>
        <v>33.91271361955942</v>
      </c>
      <c r="K78">
        <f t="shared" si="35"/>
        <v>75.11130817680511</v>
      </c>
    </row>
    <row r="79" ht="12.75">
      <c r="A79" s="25"/>
    </row>
    <row r="80" spans="1:2" ht="12.75">
      <c r="A80" s="25" t="s">
        <v>169</v>
      </c>
      <c r="B80">
        <f>100+273.15</f>
        <v>373.15</v>
      </c>
    </row>
    <row r="81" spans="1:2" ht="12.75">
      <c r="A81" s="25" t="s">
        <v>170</v>
      </c>
      <c r="B81">
        <f>64.7+273.15</f>
        <v>337.84999999999997</v>
      </c>
    </row>
    <row r="82" spans="1:2" ht="12.75">
      <c r="A82" s="25" t="s">
        <v>171</v>
      </c>
      <c r="B82">
        <f>((255+118)/2)+273.15</f>
        <v>459.65</v>
      </c>
    </row>
    <row r="83" spans="1:2" ht="12.75">
      <c r="A83" s="25" t="s">
        <v>172</v>
      </c>
      <c r="B83">
        <f>((118+110)/2)+273.15</f>
        <v>387.15</v>
      </c>
    </row>
    <row r="84" spans="1:2" ht="12.75">
      <c r="A84" s="25" t="s">
        <v>173</v>
      </c>
      <c r="B84">
        <f>((110+35)/2)+273.15</f>
        <v>345.65</v>
      </c>
    </row>
    <row r="85" spans="1:2" ht="12" customHeight="1">
      <c r="A85" s="25"/>
      <c r="B85" t="s">
        <v>168</v>
      </c>
    </row>
    <row r="86" spans="1:6" ht="12.75">
      <c r="A86" s="25"/>
      <c r="B86" t="s">
        <v>6</v>
      </c>
      <c r="C86" t="s">
        <v>7</v>
      </c>
      <c r="F86" s="6"/>
    </row>
    <row r="87" spans="1:3" ht="12.75">
      <c r="A87" s="79" t="s">
        <v>175</v>
      </c>
      <c r="B87">
        <v>40.66</v>
      </c>
      <c r="C87">
        <v>35.2</v>
      </c>
    </row>
    <row r="88" spans="1:2" ht="12.75">
      <c r="A88" s="79"/>
      <c r="B88" t="s">
        <v>174</v>
      </c>
    </row>
    <row r="89" spans="1:3" ht="12.75">
      <c r="A89" s="79" t="s">
        <v>176</v>
      </c>
      <c r="B89" s="6">
        <f>(B87+((K76-J76)/1000)*(B80-B82))</f>
        <v>36.66259493476164</v>
      </c>
      <c r="C89" s="6">
        <f>C87+((I76-H76)/1000)*(B81-B82)</f>
        <v>28.951303096481467</v>
      </c>
    </row>
    <row r="90" spans="1:3" ht="12.75">
      <c r="A90" s="79" t="s">
        <v>177</v>
      </c>
      <c r="B90" s="6">
        <f>B87+((K77-J77)/1000)*(B80-B83)</f>
        <v>40.07512038673499</v>
      </c>
      <c r="C90" s="6">
        <f>C87+((I77-H77)/1000)*(B81-B83)</f>
        <v>33.22530733826556</v>
      </c>
    </row>
    <row r="91" spans="1:3" ht="12.75">
      <c r="A91" s="79" t="s">
        <v>178</v>
      </c>
      <c r="B91" s="6">
        <f>B87+((K78-J78)/1000)*(B80-B84)</f>
        <v>41.792961350324255</v>
      </c>
      <c r="C91" s="6">
        <f>C87+((I78-H78)/1000)*(B81-B84)</f>
        <v>34.91315018431338</v>
      </c>
    </row>
    <row r="92" ht="12.75">
      <c r="A92" s="6"/>
    </row>
    <row r="93" spans="1:6" ht="12.75">
      <c r="A93" s="25"/>
      <c r="B93" s="25" t="s">
        <v>149</v>
      </c>
      <c r="D93" t="s">
        <v>180</v>
      </c>
      <c r="E93" t="s">
        <v>181</v>
      </c>
      <c r="F93" t="s">
        <v>179</v>
      </c>
    </row>
    <row r="94" spans="1:6" ht="12.75">
      <c r="A94" s="25" t="s">
        <v>150</v>
      </c>
      <c r="B94" s="6">
        <f>(($K$5*$D$65+$K$6*$C$65+$K$7*$F$65+$K$8*$B$65+$K$9*$G$65+$K$10*$E$65+$K$11*$J$65+$K$12*$H$65)+($K$5*$D$62+$K$6*$C$62+$K$7*$F$62+$K$8*$B$62+$K$9*$G$62+$K$10*$E$62+$K$11*$J$62+$K$12*$H$62))/2</f>
        <v>34.46355651411703</v>
      </c>
      <c r="D94" s="6">
        <f>($K$5*$D$65+$K$6*$C$65+$K$7*$F$65+$K$8*$B$65+$K$9*$G$65+$K$10*$E$65+$K$11*$J$65+$K$12*$H$65)</f>
        <v>35.64151537479218</v>
      </c>
      <c r="E94" s="6">
        <f>($K$5*$D$62+$K$6*$C$62+$K$7*$F$62+$K$8*$B$62+$K$9*$G$62+$K$10*$E$62+$K$11*$J$62+$K$12*$H$62)</f>
        <v>33.28559765344189</v>
      </c>
      <c r="F94" s="6">
        <f>(D94+E94)/2</f>
        <v>34.46355651411703</v>
      </c>
    </row>
    <row r="95" spans="1:5" ht="12.75">
      <c r="A95" s="25" t="s">
        <v>151</v>
      </c>
      <c r="B95" s="6">
        <f>(($B$73*$I$8+$C$73*$I$6+$D$73*$I$5+$E$73*$I$10+$F$73*$I$7+$G$73*$I$9+$J$73*$I$11)+($B$72*$I$8+$C$72*$I$6+$D$72*$I$5+$E$72*$I$10+$F$72*$I$7+$G$72*$I$9+$J$72*$I$11))/2</f>
        <v>31.794111986711968</v>
      </c>
      <c r="D95" t="s">
        <v>182</v>
      </c>
      <c r="E95" t="s">
        <v>183</v>
      </c>
    </row>
    <row r="96" spans="1:6" ht="12.75">
      <c r="A96" s="25" t="s">
        <v>152</v>
      </c>
      <c r="B96" s="6">
        <f>(($B$62*($Q$8/$Q$13)+$C$62*($Q$6/$Q$13)+$D$62*($Q$5/$Q$13)+$E$62*($Q$10/$Q$13)+$F$62*($Q$7/$Q$13)+$G$62*($Q$9/$Q$13)+$H$62*($P$12/$Q$13)+$I$62*($N$12/$Q$13)+$J$62*($P$11/$Q$13)+$K$62*($N$11/$Q$13))+($B$63*($Q$8/$Q$13)+$C$63*($Q$6/$Q$13)+$D$63*($Q$5/$Q$13)+$E$63*($Q$10/$Q$13)+$F$63*($Q$7/$Q$13)+$G$63*($Q$9/$Q$13)+$H$63*($P$12/$Q$13)+$I$63*($N$12/$Q$13)+$J$63*($P$11/$Q$13)+$K$63*($N$11/$Q$13)))/2</f>
        <v>34.621734072363</v>
      </c>
      <c r="D96" s="6">
        <f>(($B$62*($Q$8/$Q$13)+$C$62*($Q$6/$Q$13)+$D$62*($Q$5/$Q$13)+$E$62*($Q$10/$Q$13)+$F$62*($Q$7/$Q$13)+$G$62*($Q$9/$Q$13)+$H$62*($P$12/$Q$13)+$I$62*($N$12/$Q$13)+$J$62*($P$11/$Q$13)+$K$62*($N$11/$Q$13)))</f>
        <v>34.699159377372624</v>
      </c>
      <c r="E96" s="6">
        <f>(($B$63*($Q$8/$Q$13)+$C$63*($Q$6/$Q$13)+$D$63*($Q$5/$Q$13)+$E$63*($Q$10/$Q$13)+$F$63*($Q$7/$Q$13)+$G$63*($Q$9/$Q$13)+$H$63*($P$12/$Q$13)+$I$63*($N$12/$Q$13)+$J$63*($P$11/$Q$13)+$K$63*($N$11/$Q$13)))</f>
        <v>34.544308767353364</v>
      </c>
      <c r="F96" s="6">
        <f>(D96+E96)/2</f>
        <v>34.621734072363</v>
      </c>
    </row>
    <row r="97" spans="1:5" ht="12.75">
      <c r="A97" s="25" t="s">
        <v>153</v>
      </c>
      <c r="B97" s="6">
        <f>(K68+K70)/2</f>
        <v>75.47404216705198</v>
      </c>
      <c r="D97" t="s">
        <v>184</v>
      </c>
      <c r="E97" t="s">
        <v>185</v>
      </c>
    </row>
    <row r="98" spans="1:6" ht="12.75">
      <c r="A98" s="25" t="s">
        <v>154</v>
      </c>
      <c r="B98" s="6">
        <f>((B63*(U8/V13)+C63*(U6/V13)+D63*(U5/V13)+E63*(U10/V13)+F63*(U7/V13)+G63*(U9/V13)+H63*(U12/V13)+I63*(S12/V13)+J63*(U11/V13)+K63*(S11/V13))+(B64*(U8/V13)+C64*(U6/V13)+D64*(U5/V13)+E64*(U10/V13)+F64*(U7/V13)+G64*(U9/V13)+H64*(U12/V13)+I64*(S12/V13)+J64*(U11/V13)+K64*(S11/V13)))/2</f>
        <v>34.33879054818195</v>
      </c>
      <c r="D98" s="6">
        <f>B63*(U8/V13)+C63*(U6/V13)+D63*(U5/V13)+E63*(U10/V13)+F63*(U7/V13)+G63*(U9/V13)+H63*(U12/V13)+I63*(S12/V13)+J63*(U11/V13)+K63*(S11/V13)</f>
        <v>35.017909353884214</v>
      </c>
      <c r="E98" s="6">
        <f>B64*(U8/V13)+C64*(U6/V13)+D64*(U5/V13)+E64*(U10/V13)+F64*(U7/V13)+G64*(U9/V13)+H64*(U12/V13)+I64*(S12/V13)+J64*(U11/V13)+K64*(S11/V13)</f>
        <v>33.659671742479674</v>
      </c>
      <c r="F98" s="6">
        <f>(D98+E98)/2</f>
        <v>34.33879054818195</v>
      </c>
    </row>
    <row r="99" spans="1:2" ht="12.75">
      <c r="A99" s="25" t="s">
        <v>155</v>
      </c>
      <c r="B99" s="6">
        <f>(K69+K71)/2</f>
        <v>75.70315369247152</v>
      </c>
    </row>
    <row r="100" ht="12.75">
      <c r="A100" s="25"/>
    </row>
    <row r="101" ht="12.75">
      <c r="A101" s="25"/>
    </row>
    <row r="102" spans="1:8" ht="12.75">
      <c r="A102" s="25"/>
      <c r="B102" s="23" t="s">
        <v>56</v>
      </c>
      <c r="C102" s="23" t="s">
        <v>57</v>
      </c>
      <c r="D102" s="23" t="s">
        <v>58</v>
      </c>
      <c r="E102" s="4"/>
      <c r="F102" s="4"/>
      <c r="G102" s="4"/>
      <c r="H102" s="4"/>
    </row>
    <row r="103" spans="1:4" ht="12.75">
      <c r="A103" s="25" t="s">
        <v>160</v>
      </c>
      <c r="B103" s="6">
        <f>$B$94</f>
        <v>34.46355651411703</v>
      </c>
      <c r="C103" s="6">
        <f>$B$96</f>
        <v>34.621734072363</v>
      </c>
      <c r="D103" s="6">
        <f>$B$98</f>
        <v>34.33879054818195</v>
      </c>
    </row>
    <row r="104" spans="1:4" ht="12.75">
      <c r="A104" s="25" t="s">
        <v>161</v>
      </c>
      <c r="B104" s="6">
        <f>$B$95</f>
        <v>31.794111986711968</v>
      </c>
      <c r="C104" s="6">
        <f>$B$97</f>
        <v>75.47404216705198</v>
      </c>
      <c r="D104" s="6">
        <f>$B$99</f>
        <v>75.70315369247152</v>
      </c>
    </row>
    <row r="105" spans="1:4" ht="12.75">
      <c r="A105" s="25" t="s">
        <v>74</v>
      </c>
      <c r="B105" s="62">
        <f>(B103*L13*(B110-B111)*1000)/3600+(B89*N11*1000)*1000/3600+(C89*N12*1000)*1000/3600</f>
        <v>69726566.49897438</v>
      </c>
      <c r="C105" s="62">
        <f>(C103*Q13*(C110-C111)*1000)/3600+(B90*(S11-N11)*1000)*1000/3600+(C90*(S12-N12)*1000)*1000/3600</f>
        <v>8238553.051150557</v>
      </c>
      <c r="D105" s="62">
        <f>(D103*V13*(D110-D111)*1000)/3600+(B91*(X11-S11)*1000)*1000/3600+(C91*(X12-S12)*1000)*1000/3600</f>
        <v>50509559.797168195</v>
      </c>
    </row>
    <row r="106" spans="1:4" ht="12.75">
      <c r="A106" s="25" t="s">
        <v>75</v>
      </c>
      <c r="B106" s="62">
        <f>B105</f>
        <v>69726566.49897438</v>
      </c>
      <c r="C106" s="62">
        <f>C105</f>
        <v>8238553.051150557</v>
      </c>
      <c r="D106" s="62">
        <f>D105</f>
        <v>50509559.797168195</v>
      </c>
    </row>
    <row r="107" spans="1:11" ht="12.75">
      <c r="A107" s="25" t="s">
        <v>76</v>
      </c>
      <c r="C107" s="77">
        <f>C105/(C104*(C113-C112))</f>
        <v>1679.3451944333779</v>
      </c>
      <c r="D107" s="77">
        <f>D106/(D104*(D113-D112))</f>
        <v>44480.36603807629</v>
      </c>
      <c r="F107" t="s">
        <v>156</v>
      </c>
      <c r="G107" s="62">
        <f>$B$108*3.6</f>
        <v>6334281.405647894</v>
      </c>
      <c r="I107" t="s">
        <v>188</v>
      </c>
      <c r="J107" s="77">
        <f>((C107*18.02)*3600)/(1000*1000)</f>
        <v>108.94248145328208</v>
      </c>
      <c r="K107" t="s">
        <v>187</v>
      </c>
    </row>
    <row r="108" spans="1:11" ht="12.75">
      <c r="A108" s="25" t="s">
        <v>77</v>
      </c>
      <c r="B108" s="62">
        <f>B105/B114</f>
        <v>1759522.6126799672</v>
      </c>
      <c r="C108" s="62">
        <f>C105/C114</f>
        <v>243333.01902145552</v>
      </c>
      <c r="D108" s="62">
        <f>D105/D114</f>
        <v>1080354.3553418154</v>
      </c>
      <c r="F108" t="s">
        <v>157</v>
      </c>
      <c r="G108" s="62">
        <f>$C$108*3.6</f>
        <v>875998.8684772399</v>
      </c>
      <c r="I108" t="s">
        <v>189</v>
      </c>
      <c r="J108" s="77">
        <f>((D107*18.02)*3600)/(1000*1000)</f>
        <v>2885.530305622085</v>
      </c>
      <c r="K108" t="s">
        <v>187</v>
      </c>
    </row>
    <row r="109" spans="6:7" ht="12.75">
      <c r="F109" t="s">
        <v>158</v>
      </c>
      <c r="G109" s="62">
        <f>$D$108*3.6</f>
        <v>3889275.6792305354</v>
      </c>
    </row>
    <row r="110" spans="1:4" ht="12.75">
      <c r="A110" s="25" t="s">
        <v>69</v>
      </c>
      <c r="B110">
        <f>255+273.15</f>
        <v>528.15</v>
      </c>
      <c r="C110">
        <f>273.15+118</f>
        <v>391.15</v>
      </c>
      <c r="D110">
        <f>273.15+110</f>
        <v>383.15</v>
      </c>
    </row>
    <row r="111" spans="1:4" ht="12.75">
      <c r="A111" s="25" t="s">
        <v>70</v>
      </c>
      <c r="B111">
        <f>273.15+118</f>
        <v>391.15</v>
      </c>
      <c r="C111">
        <f>273.15+110</f>
        <v>383.15</v>
      </c>
      <c r="D111">
        <f>273.15+35</f>
        <v>308.15</v>
      </c>
    </row>
    <row r="112" spans="1:8" ht="12.75">
      <c r="A112" s="64" t="s">
        <v>71</v>
      </c>
      <c r="B112" s="32">
        <f>66.1+273.15</f>
        <v>339.25</v>
      </c>
      <c r="C112" s="32">
        <f>40+273.15</f>
        <v>313.15</v>
      </c>
      <c r="D112" s="32">
        <f>273.15+12</f>
        <v>285.15</v>
      </c>
      <c r="E112" s="32"/>
      <c r="F112" s="32"/>
      <c r="G112" s="32"/>
      <c r="H112" s="32"/>
    </row>
    <row r="113" spans="1:6" ht="12.75">
      <c r="A113" s="25" t="s">
        <v>72</v>
      </c>
      <c r="B113" s="80">
        <f>((B106*3600)/(H13*B104*1000))+B112</f>
        <v>498.6876157618028</v>
      </c>
      <c r="C113">
        <f>273.15+105</f>
        <v>378.15</v>
      </c>
      <c r="D113">
        <f>273.15+27</f>
        <v>300.15</v>
      </c>
      <c r="F113" s="32"/>
    </row>
    <row r="114" spans="1:4" ht="12.75">
      <c r="A114" s="25" t="s">
        <v>73</v>
      </c>
      <c r="B114" s="6">
        <f>((B110-B113)-(B111-B112))/LN(((B110-B113)/(B111-B112)))</f>
        <v>39.62811616997195</v>
      </c>
      <c r="C114" s="6">
        <f>((C110-C113)-(C111-C112))/LN(((C110-C113)/(C111-C112)))</f>
        <v>33.857111066476904</v>
      </c>
      <c r="D114" s="6">
        <f>((D110-D113)-(D111-D112))/LN(((D110-D113)/(D111-D112)))</f>
        <v>46.752771021307524</v>
      </c>
    </row>
  </sheetData>
  <mergeCells count="30">
    <mergeCell ref="W33:X33"/>
    <mergeCell ref="Y33:Z33"/>
    <mergeCell ref="K32:L32"/>
    <mergeCell ref="M33:N33"/>
    <mergeCell ref="O33:P33"/>
    <mergeCell ref="R33:S33"/>
    <mergeCell ref="T33:U33"/>
    <mergeCell ref="W32:Z32"/>
    <mergeCell ref="C32:D32"/>
    <mergeCell ref="I32:J32"/>
    <mergeCell ref="M32:Q32"/>
    <mergeCell ref="R32:V32"/>
    <mergeCell ref="E32:F32"/>
    <mergeCell ref="G32:H32"/>
    <mergeCell ref="W3:Z3"/>
    <mergeCell ref="E3:F3"/>
    <mergeCell ref="G3:H3"/>
    <mergeCell ref="AF32:AG32"/>
    <mergeCell ref="AB32:AC32"/>
    <mergeCell ref="AD32:AE32"/>
    <mergeCell ref="C3:D3"/>
    <mergeCell ref="I3:J3"/>
    <mergeCell ref="M3:Q3"/>
    <mergeCell ref="R3:V3"/>
    <mergeCell ref="AH32:AI32"/>
    <mergeCell ref="AB3:AC3"/>
    <mergeCell ref="AH3:AI3"/>
    <mergeCell ref="AJ3:AK3"/>
    <mergeCell ref="AF3:AG3"/>
    <mergeCell ref="AJ32:AK32"/>
  </mergeCells>
  <printOptions/>
  <pageMargins left="0.75" right="0.75" top="1" bottom="1" header="0.5" footer="0.5"/>
  <pageSetup fitToHeight="1" fitToWidth="1" horizontalDpi="300" verticalDpi="3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85" zoomScaleNormal="85" workbookViewId="0" topLeftCell="A1">
      <selection activeCell="B1" sqref="B1:B2"/>
    </sheetView>
  </sheetViews>
  <sheetFormatPr defaultColWidth="9.140625" defaultRowHeight="12.75"/>
  <cols>
    <col min="1" max="3" width="11.7109375" style="0" customWidth="1"/>
    <col min="4" max="4" width="15.421875" style="0" customWidth="1"/>
    <col min="5" max="14" width="11.7109375" style="0" customWidth="1"/>
  </cols>
  <sheetData>
    <row r="1" ht="12.75">
      <c r="B1" t="s">
        <v>81</v>
      </c>
    </row>
    <row r="2" ht="12.75">
      <c r="B2" t="s">
        <v>148</v>
      </c>
    </row>
    <row r="4" ht="12.75">
      <c r="D4" s="32"/>
    </row>
    <row r="5" ht="12.75">
      <c r="D5" s="32"/>
    </row>
    <row r="6" ht="12.75">
      <c r="D6" s="32"/>
    </row>
    <row r="7" spans="1:14" ht="12.75">
      <c r="A7" t="s">
        <v>166</v>
      </c>
      <c r="J7" s="7"/>
      <c r="K7" s="7"/>
      <c r="L7" s="7"/>
      <c r="M7" s="7"/>
      <c r="N7" s="7"/>
    </row>
    <row r="8" spans="2:14" ht="12.75">
      <c r="B8" t="s">
        <v>30</v>
      </c>
      <c r="C8" t="s">
        <v>31</v>
      </c>
      <c r="D8" t="s">
        <v>32</v>
      </c>
      <c r="E8" t="s">
        <v>33</v>
      </c>
      <c r="F8" t="s">
        <v>34</v>
      </c>
      <c r="G8" t="s">
        <v>83</v>
      </c>
      <c r="H8" t="s">
        <v>84</v>
      </c>
      <c r="I8" t="s">
        <v>85</v>
      </c>
      <c r="J8" s="7"/>
      <c r="K8" s="7"/>
      <c r="L8" s="7"/>
      <c r="M8" s="7"/>
      <c r="N8" s="7"/>
    </row>
    <row r="9" spans="1:14" ht="12.75">
      <c r="A9" t="s">
        <v>0</v>
      </c>
      <c r="B9">
        <v>27.437</v>
      </c>
      <c r="C9" s="33">
        <v>0.042315</v>
      </c>
      <c r="D9" s="33">
        <v>-1.9555E-05</v>
      </c>
      <c r="E9" s="33">
        <v>3.9968E-09</v>
      </c>
      <c r="F9" s="33">
        <v>-2.9872E-13</v>
      </c>
      <c r="G9">
        <v>50</v>
      </c>
      <c r="H9">
        <v>5000</v>
      </c>
      <c r="I9" s="34">
        <f aca="true" t="shared" si="0" ref="I9:I16">B9+C9*$F$5+D9*$F$5^2+E9*$F$5^3+F9*$F$5^4</f>
        <v>27.437</v>
      </c>
      <c r="J9" s="7"/>
      <c r="K9" s="7"/>
      <c r="L9" s="7"/>
      <c r="M9" s="41"/>
      <c r="N9" s="7"/>
    </row>
    <row r="10" spans="1:14" ht="12.75">
      <c r="A10" t="s">
        <v>1</v>
      </c>
      <c r="B10">
        <v>29.556</v>
      </c>
      <c r="C10" s="33">
        <v>-0.0065807</v>
      </c>
      <c r="D10" s="33">
        <v>2.013E-05</v>
      </c>
      <c r="E10" s="33">
        <v>-1.2227E-08</v>
      </c>
      <c r="F10" s="33">
        <v>2.2617E-12</v>
      </c>
      <c r="G10">
        <v>60</v>
      </c>
      <c r="H10">
        <v>1500</v>
      </c>
      <c r="I10" s="34">
        <f t="shared" si="0"/>
        <v>29.556</v>
      </c>
      <c r="J10" s="7"/>
      <c r="K10" s="7"/>
      <c r="L10" s="7"/>
      <c r="M10" s="41"/>
      <c r="N10" s="7"/>
    </row>
    <row r="11" spans="1:14" ht="12.75">
      <c r="A11" t="s">
        <v>2</v>
      </c>
      <c r="B11">
        <v>25.399</v>
      </c>
      <c r="C11" s="33">
        <v>0.020178</v>
      </c>
      <c r="D11" s="33">
        <v>-3.8549E-05</v>
      </c>
      <c r="E11" s="33">
        <v>3.188E-08</v>
      </c>
      <c r="F11" s="33">
        <v>-8.7585E-12</v>
      </c>
      <c r="G11">
        <v>250</v>
      </c>
      <c r="H11">
        <v>1500</v>
      </c>
      <c r="I11" s="34">
        <f t="shared" si="0"/>
        <v>25.399</v>
      </c>
      <c r="J11" s="7"/>
      <c r="K11" s="7"/>
      <c r="L11" s="7"/>
      <c r="M11" s="41"/>
      <c r="N11" s="7"/>
    </row>
    <row r="12" spans="1:14" ht="12.75">
      <c r="A12" t="s">
        <v>3</v>
      </c>
      <c r="B12">
        <v>34.942</v>
      </c>
      <c r="C12" s="33">
        <v>-0.039957</v>
      </c>
      <c r="D12" s="33">
        <v>0.00019184</v>
      </c>
      <c r="E12" s="33">
        <v>-1.5303E-07</v>
      </c>
      <c r="F12" s="33">
        <v>3.9321E-11</v>
      </c>
      <c r="G12">
        <v>50</v>
      </c>
      <c r="H12">
        <v>1500</v>
      </c>
      <c r="I12" s="34">
        <f t="shared" si="0"/>
        <v>34.942</v>
      </c>
      <c r="J12" s="7"/>
      <c r="K12" s="7"/>
      <c r="L12" s="7"/>
      <c r="M12" s="41"/>
      <c r="N12" s="7"/>
    </row>
    <row r="13" spans="1:14" ht="12.75">
      <c r="A13" t="s">
        <v>4</v>
      </c>
      <c r="B13">
        <v>29.342</v>
      </c>
      <c r="C13" s="35">
        <v>-0.0035395</v>
      </c>
      <c r="D13" s="35">
        <v>1.0076E-05</v>
      </c>
      <c r="E13" s="35">
        <v>-4.3116E-09</v>
      </c>
      <c r="F13" s="35">
        <v>2.5935E-13</v>
      </c>
      <c r="G13">
        <v>50</v>
      </c>
      <c r="H13">
        <v>1500</v>
      </c>
      <c r="I13" s="34">
        <f t="shared" si="0"/>
        <v>29.342</v>
      </c>
      <c r="J13" s="7"/>
      <c r="K13" s="7"/>
      <c r="L13" s="7"/>
      <c r="M13" s="41"/>
      <c r="N13" s="7"/>
    </row>
    <row r="14" spans="1:14" ht="12.75">
      <c r="A14" t="s">
        <v>5</v>
      </c>
      <c r="B14">
        <v>20.786</v>
      </c>
      <c r="C14" s="33">
        <v>0</v>
      </c>
      <c r="D14" s="33">
        <v>0</v>
      </c>
      <c r="E14" s="33">
        <v>0</v>
      </c>
      <c r="F14" s="33">
        <v>0</v>
      </c>
      <c r="G14">
        <v>100</v>
      </c>
      <c r="H14">
        <v>1500</v>
      </c>
      <c r="I14" s="34">
        <f t="shared" si="0"/>
        <v>20.786</v>
      </c>
      <c r="J14" s="7"/>
      <c r="K14" s="7"/>
      <c r="L14" s="7"/>
      <c r="M14" s="41"/>
      <c r="N14" s="7"/>
    </row>
    <row r="15" spans="1:14" ht="12.75">
      <c r="A15" t="s">
        <v>6</v>
      </c>
      <c r="B15">
        <v>33.933</v>
      </c>
      <c r="C15" s="33">
        <v>-0.0084186</v>
      </c>
      <c r="D15" s="33">
        <v>2.9906E-05</v>
      </c>
      <c r="E15" s="33">
        <v>-1.7825E-08</v>
      </c>
      <c r="F15" s="33">
        <v>3.6934E-12</v>
      </c>
      <c r="G15">
        <v>100</v>
      </c>
      <c r="H15">
        <v>1500</v>
      </c>
      <c r="I15" s="34">
        <f t="shared" si="0"/>
        <v>33.933</v>
      </c>
      <c r="J15" s="7"/>
      <c r="K15" s="7"/>
      <c r="L15" s="7"/>
      <c r="M15" s="41"/>
      <c r="N15" s="7"/>
    </row>
    <row r="16" spans="1:14" ht="12.75">
      <c r="A16" t="s">
        <v>7</v>
      </c>
      <c r="B16">
        <v>40.046</v>
      </c>
      <c r="C16" s="33">
        <v>-0.038287</v>
      </c>
      <c r="D16" s="33">
        <v>0.00024529</v>
      </c>
      <c r="E16" s="33">
        <v>-2.1679E-07</v>
      </c>
      <c r="F16" s="33">
        <v>5.9909E-11</v>
      </c>
      <c r="G16">
        <v>100</v>
      </c>
      <c r="H16">
        <v>1500</v>
      </c>
      <c r="I16" s="34">
        <f t="shared" si="0"/>
        <v>40.046</v>
      </c>
      <c r="J16" s="7"/>
      <c r="K16" s="7"/>
      <c r="L16" s="8"/>
      <c r="M16" s="41"/>
      <c r="N16" s="7"/>
    </row>
    <row r="17" spans="3:14" ht="12.75">
      <c r="C17" s="33"/>
      <c r="D17" s="33"/>
      <c r="E17" s="33"/>
      <c r="F17" s="33"/>
      <c r="I17" s="34"/>
      <c r="J17" s="7"/>
      <c r="K17" s="7"/>
      <c r="L17" s="8"/>
      <c r="M17" s="41"/>
      <c r="N17" s="7"/>
    </row>
    <row r="18" spans="1:14" ht="12.75">
      <c r="A18" t="s">
        <v>101</v>
      </c>
      <c r="C18" s="33"/>
      <c r="D18" s="33"/>
      <c r="E18" s="33"/>
      <c r="F18" s="33"/>
      <c r="I18" s="34"/>
      <c r="J18" s="7"/>
      <c r="K18" s="7"/>
      <c r="L18" s="8"/>
      <c r="M18" s="41"/>
      <c r="N18" s="7"/>
    </row>
    <row r="19" spans="1:14" ht="12.75">
      <c r="A19" t="s">
        <v>7</v>
      </c>
      <c r="B19">
        <f>40.152</f>
        <v>40.152</v>
      </c>
      <c r="C19">
        <f>3.1046*10^-1</f>
        <v>0.31046</v>
      </c>
      <c r="D19">
        <f>-1.0291*10^-3</f>
        <v>-0.0010291</v>
      </c>
      <c r="E19">
        <f>1.4598*10^-6</f>
        <v>1.4598E-06</v>
      </c>
      <c r="F19" s="33"/>
      <c r="G19">
        <v>176</v>
      </c>
      <c r="H19">
        <v>461</v>
      </c>
      <c r="I19" s="34">
        <f>461-273</f>
        <v>188</v>
      </c>
      <c r="J19" s="7"/>
      <c r="K19" s="7"/>
      <c r="L19" s="8"/>
      <c r="M19" s="41"/>
      <c r="N19" s="7"/>
    </row>
    <row r="20" spans="1:14" ht="12.75">
      <c r="A20" t="s">
        <v>6</v>
      </c>
      <c r="B20">
        <f>92.053</f>
        <v>92.053</v>
      </c>
      <c r="C20">
        <f>-3.9953*10^-2</f>
        <v>-0.039953</v>
      </c>
      <c r="D20">
        <f>-2.1103*10^-4</f>
        <v>-0.00021103000000000002</v>
      </c>
      <c r="E20">
        <f>5.3469*10^-7</f>
        <v>5.3469E-07</v>
      </c>
      <c r="G20">
        <v>273</v>
      </c>
      <c r="H20">
        <v>615</v>
      </c>
      <c r="J20" s="7"/>
      <c r="K20" s="7"/>
      <c r="L20" s="7"/>
      <c r="M20" s="41"/>
      <c r="N20" s="7"/>
    </row>
    <row r="21" spans="10:14" ht="12.75">
      <c r="J21" s="7"/>
      <c r="K21" s="7"/>
      <c r="L21" s="7"/>
      <c r="M21" s="7"/>
      <c r="N21" s="7"/>
    </row>
    <row r="22" ht="12.75">
      <c r="C22" s="36"/>
    </row>
    <row r="23" spans="1:3" ht="12.75">
      <c r="A23" s="36" t="s">
        <v>8</v>
      </c>
      <c r="C23" s="36"/>
    </row>
    <row r="24" spans="1:5" ht="12.75">
      <c r="A24" s="36" t="s">
        <v>91</v>
      </c>
      <c r="B24" s="42">
        <v>30</v>
      </c>
      <c r="C24" s="36" t="s">
        <v>32</v>
      </c>
      <c r="D24">
        <f>B24+273.15</f>
        <v>303.15</v>
      </c>
      <c r="E24" t="s">
        <v>82</v>
      </c>
    </row>
    <row r="25" spans="1:3" ht="12.75">
      <c r="A25" s="36"/>
      <c r="B25" s="43"/>
      <c r="C25" s="36"/>
    </row>
    <row r="27" spans="3:7" ht="12.75">
      <c r="C27" t="s">
        <v>87</v>
      </c>
      <c r="D27" t="s">
        <v>88</v>
      </c>
      <c r="E27" t="s">
        <v>89</v>
      </c>
      <c r="F27" t="s">
        <v>86</v>
      </c>
      <c r="G27" t="s">
        <v>78</v>
      </c>
    </row>
    <row r="28" spans="1:7" ht="12.75">
      <c r="A28" t="s">
        <v>0</v>
      </c>
      <c r="C28">
        <f>-393.51*1000</f>
        <v>-393510</v>
      </c>
      <c r="D28" s="6">
        <f>($B$9*D24+0.5*$C$9*D24^2+(1/3)*$D$9*D24^3+0.25*$E$9*D24^4+0.2*$F$9*D24^5)-($B$9*298.15+0.5*$C$9*298.15^2+(1/3)*$D$9*298.15^3+0.25*$E$9*298.15^4+0.2*$F$9*298.15^5)</f>
        <v>192.48781180015612</v>
      </c>
      <c r="E28" s="6">
        <f>SUM(C28:D28)</f>
        <v>-393317.51218819985</v>
      </c>
      <c r="F28" s="1">
        <f>MB!C5</f>
        <v>0.08199999999999999</v>
      </c>
      <c r="G28" s="39">
        <f>E28*F28</f>
        <v>-32252.035999432384</v>
      </c>
    </row>
    <row r="29" spans="1:7" ht="12.75">
      <c r="A29" t="s">
        <v>1</v>
      </c>
      <c r="C29">
        <f>-110.54*1000</f>
        <v>-110540</v>
      </c>
      <c r="D29" s="6">
        <f>($B$10*D24+0.5*$C$10*D24^2+(1/3)*$D$10*D24^3+0.25*$E$10*D24^4+0.2*$F$10*D24^5)-($B$10*298.15+0.5*$C$10*298.15^2+(1/3)*$D$10*298.15^3+0.25*$E$10*298.15^4+0.2*$F$10*298.15^5)</f>
        <v>145.41646417256743</v>
      </c>
      <c r="E29" s="6">
        <f aca="true" t="shared" si="1" ref="E29:E35">SUM(C29:D29)</f>
        <v>-110394.58353582743</v>
      </c>
      <c r="F29" s="1">
        <f>MB!C6</f>
        <v>0.21100000000000002</v>
      </c>
      <c r="G29" s="39">
        <f>E29*F29</f>
        <v>-23293.25712605959</v>
      </c>
    </row>
    <row r="30" spans="1:9" ht="12.75">
      <c r="A30" t="s">
        <v>2</v>
      </c>
      <c r="C30">
        <v>0</v>
      </c>
      <c r="D30" s="6">
        <f>($B$11*D24+0.5*$C$11*D24^2+(1/3)*$D$11*D24^3+0.25*$E$11*D24^4+0.2*$F$11*D24^5)-($B$11*298.15+0.5*$C$11*298.15^2+(1/3)*$D$11*298.15^3+0.25*$E$11*298.15^4+0.2*$F$11*298.15^5)</f>
        <v>143.87915687151872</v>
      </c>
      <c r="E30" s="6">
        <f t="shared" si="1"/>
        <v>143.87915687151872</v>
      </c>
      <c r="F30" s="1">
        <f>MB!C7</f>
        <v>0.6890000000000001</v>
      </c>
      <c r="G30" s="39">
        <v>0</v>
      </c>
      <c r="I30" s="37"/>
    </row>
    <row r="31" spans="1:7" ht="12.75">
      <c r="A31" t="s">
        <v>3</v>
      </c>
      <c r="C31">
        <f>-74.85*1000</f>
        <v>-74850</v>
      </c>
      <c r="D31" s="6">
        <f>($B$12*D24+0.5*$C$12*D24^2+(1/3)*$D$12*D24^3+0.25*$E$12*D24^4+0.2*$F$12*D24^5)-($B$12*298.15+0.5*$C$12*298.15^2+(1/3)*$D$12*298.15^3+0.25*$E$12*298.15^4+0.2*$F$12*298.15^5)</f>
        <v>182.16063783014943</v>
      </c>
      <c r="E31" s="6">
        <f t="shared" si="1"/>
        <v>-74667.83936216985</v>
      </c>
      <c r="F31" s="1">
        <f>MB!C8</f>
        <v>0.013999999999999999</v>
      </c>
      <c r="G31" s="39">
        <f>E31*F31</f>
        <v>-1045.3497510703778</v>
      </c>
    </row>
    <row r="32" spans="1:7" ht="12.75">
      <c r="A32" t="s">
        <v>4</v>
      </c>
      <c r="C32">
        <v>0</v>
      </c>
      <c r="D32" s="6">
        <f>($B$13*D24+0.5*$C$13*D24^2+(1/3)*$D$13*D24^3+0.25*$E$13*D24^4+0.2*$F$13*D24^5)-($B$13*298.15+0.5*$C$13*298.15^2+(1/3)*$D$13*298.15^3+0.25*$E$13*298.15^4+0.2*$F$13*298.15^5)</f>
        <v>145.36791939601972</v>
      </c>
      <c r="E32" s="6">
        <f t="shared" si="1"/>
        <v>145.36791939601972</v>
      </c>
      <c r="F32" s="1">
        <f>MB!C9</f>
        <v>0.002</v>
      </c>
      <c r="G32" s="39">
        <v>0</v>
      </c>
    </row>
    <row r="33" spans="1:7" ht="12.75">
      <c r="A33" t="s">
        <v>5</v>
      </c>
      <c r="C33">
        <v>0</v>
      </c>
      <c r="D33" s="6">
        <f>($B$14*D24+0.5*$C$14*D24^2+(1/3)*$D$14*D24^3+0.25*$E$14*D24^4+0.2*$F$14*D24^5)-($B$14*298.15+0.5*$C$14*298.15^2+(1/3)*$D$14*298.15^3+0.25*$E$14*298.15^4+0.2*$F$14*298.15^5)</f>
        <v>103.92999999999938</v>
      </c>
      <c r="E33" s="6">
        <f t="shared" si="1"/>
        <v>103.92999999999938</v>
      </c>
      <c r="F33" s="1">
        <f>MB!C10</f>
        <v>0.001</v>
      </c>
      <c r="G33" s="39">
        <v>0</v>
      </c>
    </row>
    <row r="34" spans="1:7" ht="12.75">
      <c r="A34" t="s">
        <v>6</v>
      </c>
      <c r="C34">
        <f>-241.8*1000</f>
        <v>-241800</v>
      </c>
      <c r="D34" s="6">
        <f>($B$15*D24+0.5*$C$15*D24^2+(1/3)*$D$15*D24^3+0.25*$E$15*D24^4+0.2*$F$15*D24^5)-($B$15*298.15+0.5*$C$15*298.15^2+(1/3)*$D$15*298.15^3+0.25*$E$15*298.15^4+0.2*$F$15*298.15^5)</f>
        <v>168.25481729243438</v>
      </c>
      <c r="E34" s="6">
        <f t="shared" si="1"/>
        <v>-241631.74518270756</v>
      </c>
      <c r="F34" s="1">
        <f>MB!C11</f>
        <v>0.001</v>
      </c>
      <c r="G34" s="39">
        <f>E34*F34</f>
        <v>-241.63174518270756</v>
      </c>
    </row>
    <row r="35" spans="1:7" ht="13.5" thickBot="1">
      <c r="A35" t="s">
        <v>7</v>
      </c>
      <c r="C35">
        <f>-201.17*1000</f>
        <v>-201170</v>
      </c>
      <c r="D35" s="6">
        <f>($B$16*D24+0.5*$C$16*D24^2+(1/3)*$D$16*D24^3+0.25*$E$16*D24^4+0.2*$F$16*D24^5)-($B$16*298.15+0.5*$C$16*298.15^2+(1/3)*$D$16*298.15^3+0.25*$E$16*298.15^4+0.2*$F$16*298.15^5)</f>
        <v>226.52537297611525</v>
      </c>
      <c r="E35" s="6">
        <f t="shared" si="1"/>
        <v>-200943.47462702388</v>
      </c>
      <c r="F35" s="12">
        <f>MB!C12</f>
        <v>0</v>
      </c>
      <c r="G35" s="45">
        <f>E35*F35</f>
        <v>0</v>
      </c>
    </row>
    <row r="36" spans="6:7" ht="12.75">
      <c r="F36" s="4">
        <f>SUM(F28:F35)</f>
        <v>1</v>
      </c>
      <c r="G36" s="39">
        <f>SUM(G28:G35)</f>
        <v>-56832.274621745055</v>
      </c>
    </row>
    <row r="37" spans="6:7" ht="12.75">
      <c r="F37" s="38"/>
      <c r="G37" s="38"/>
    </row>
    <row r="38" spans="1:3" ht="12.75">
      <c r="A38" s="36" t="s">
        <v>90</v>
      </c>
      <c r="C38" s="36"/>
    </row>
    <row r="39" spans="1:5" ht="12.75">
      <c r="A39" s="36" t="s">
        <v>91</v>
      </c>
      <c r="B39" s="42">
        <v>153</v>
      </c>
      <c r="C39" s="36" t="s">
        <v>32</v>
      </c>
      <c r="D39">
        <f>B39+273.15</f>
        <v>426.15</v>
      </c>
      <c r="E39" t="s">
        <v>82</v>
      </c>
    </row>
    <row r="40" spans="1:9" ht="12.75">
      <c r="A40" s="36"/>
      <c r="B40" s="43"/>
      <c r="C40" s="36"/>
      <c r="H40" s="39"/>
      <c r="I40" s="4"/>
    </row>
    <row r="41" spans="8:9" ht="12.75">
      <c r="H41" s="39"/>
      <c r="I41" s="4"/>
    </row>
    <row r="42" spans="3:9" ht="12.75">
      <c r="C42" t="s">
        <v>87</v>
      </c>
      <c r="D42" t="s">
        <v>88</v>
      </c>
      <c r="E42" t="s">
        <v>89</v>
      </c>
      <c r="F42" t="s">
        <v>86</v>
      </c>
      <c r="G42" t="s">
        <v>130</v>
      </c>
      <c r="H42" s="39"/>
      <c r="I42" s="40"/>
    </row>
    <row r="43" spans="1:9" ht="12.75">
      <c r="A43" t="s">
        <v>0</v>
      </c>
      <c r="C43">
        <f>-393.51*1000</f>
        <v>-393510</v>
      </c>
      <c r="D43" s="6">
        <f>(B$9*D39+0.5*C$9*D39^2+(1/3)*D$9*D39^3+0.25*E$9*D39^4+0.2*F$9*D39^5)-(B$9*298.15+0.5*C$9*298.15^2+(1/3)*D$9*298.15^3+0.25*E$9*298.15^4+0.2*F$9*298.15^5)</f>
        <v>5166.1174793852915</v>
      </c>
      <c r="E43" s="6">
        <f>SUM(C43:D43)</f>
        <v>-388343.8825206147</v>
      </c>
      <c r="F43" s="4">
        <f>8.2/100</f>
        <v>0.08199999999999999</v>
      </c>
      <c r="G43" s="39">
        <f>E43*F43</f>
        <v>-31844.1983666904</v>
      </c>
      <c r="H43" s="39"/>
      <c r="I43" s="4"/>
    </row>
    <row r="44" spans="1:9" ht="12.75">
      <c r="A44" t="s">
        <v>1</v>
      </c>
      <c r="C44">
        <f>-110.54*1000</f>
        <v>-110540</v>
      </c>
      <c r="D44" s="6">
        <f>(B$10*D39+0.5*C$10*D39^2+(1/3)*D$10*D39^3+0.25*E$10*D39^4+0.2*F$10*D39^5)-(B$10*298.15+0.5*C$10*298.15^2+(1/3)*D$10*298.15^3+0.25*E$10*298.15^4+0.2*F$10*298.15^5)</f>
        <v>3748.204165963529</v>
      </c>
      <c r="E44" s="6">
        <f aca="true" t="shared" si="2" ref="E44:E50">SUM(C44:D44)</f>
        <v>-106791.79583403647</v>
      </c>
      <c r="F44" s="4">
        <f>21.2/100</f>
        <v>0.212</v>
      </c>
      <c r="G44" s="39">
        <f>E44*F44</f>
        <v>-22639.860716815732</v>
      </c>
      <c r="H44" s="39"/>
      <c r="I44" s="4"/>
    </row>
    <row r="45" spans="1:9" ht="12.75">
      <c r="A45" t="s">
        <v>2</v>
      </c>
      <c r="C45">
        <v>0</v>
      </c>
      <c r="D45" s="6">
        <f aca="true" t="shared" si="3" ref="D45:D50">(B11*D$39+0.5*C11*D$39^2+(1/3)*D11*D$39^3+0.25*E11*D$39^4+0.2*F11*D$39^5)-(B11*298.15+0.5*C11*298.15^2+(1/3)*D11*298.15^3+0.25*E11*298.15^4+0.2*F11*298.15^5)</f>
        <v>3711.9264040747494</v>
      </c>
      <c r="E45" s="6">
        <f t="shared" si="2"/>
        <v>3711.9264040747494</v>
      </c>
      <c r="F45" s="4">
        <f>68.8/100</f>
        <v>0.688</v>
      </c>
      <c r="G45" s="39">
        <v>0</v>
      </c>
      <c r="H45" s="39"/>
      <c r="I45" s="4"/>
    </row>
    <row r="46" spans="1:9" ht="12.75">
      <c r="A46" t="s">
        <v>3</v>
      </c>
      <c r="C46">
        <f>-74.85*1000</f>
        <v>-74850</v>
      </c>
      <c r="D46" s="6">
        <f t="shared" si="3"/>
        <v>5006.989179878365</v>
      </c>
      <c r="E46" s="6">
        <f t="shared" si="2"/>
        <v>-69843.01082012164</v>
      </c>
      <c r="F46" s="4">
        <f>1.4/100</f>
        <v>0.013999999999999999</v>
      </c>
      <c r="G46" s="39">
        <f>E46*F46</f>
        <v>-977.8021514817028</v>
      </c>
      <c r="H46" s="39"/>
      <c r="I46" s="4"/>
    </row>
    <row r="47" spans="1:9" ht="12.75">
      <c r="A47" t="s">
        <v>4</v>
      </c>
      <c r="C47">
        <v>0</v>
      </c>
      <c r="D47" s="6">
        <f t="shared" si="3"/>
        <v>3736.1892075512533</v>
      </c>
      <c r="E47" s="6">
        <f t="shared" si="2"/>
        <v>3736.1892075512533</v>
      </c>
      <c r="F47" s="4">
        <f>0.2/100</f>
        <v>0.002</v>
      </c>
      <c r="G47" s="39">
        <v>0</v>
      </c>
      <c r="H47" s="39"/>
      <c r="I47" s="4"/>
    </row>
    <row r="48" spans="1:9" ht="12.75">
      <c r="A48" t="s">
        <v>5</v>
      </c>
      <c r="C48">
        <v>0</v>
      </c>
      <c r="D48" s="6">
        <f t="shared" si="3"/>
        <v>2660.608</v>
      </c>
      <c r="E48" s="6">
        <f t="shared" si="2"/>
        <v>2660.608</v>
      </c>
      <c r="F48" s="4">
        <f>0.1/100</f>
        <v>0.001</v>
      </c>
      <c r="G48" s="39">
        <v>0</v>
      </c>
      <c r="H48" s="39"/>
      <c r="I48" s="4"/>
    </row>
    <row r="49" spans="1:9" ht="12.75">
      <c r="A49" t="s">
        <v>6</v>
      </c>
      <c r="C49">
        <f>-241.8*1000</f>
        <v>-241800</v>
      </c>
      <c r="D49" s="6">
        <f t="shared" si="3"/>
        <v>4357.340563754222</v>
      </c>
      <c r="E49" s="6">
        <f t="shared" si="2"/>
        <v>-237442.65943624577</v>
      </c>
      <c r="F49" s="4">
        <f>0.1/100</f>
        <v>0.001</v>
      </c>
      <c r="G49" s="39">
        <f>E49*F49</f>
        <v>-237.44265943624578</v>
      </c>
      <c r="H49" s="4"/>
      <c r="I49" s="4"/>
    </row>
    <row r="50" spans="1:7" ht="13.5" thickBot="1">
      <c r="A50" t="s">
        <v>7</v>
      </c>
      <c r="C50">
        <f>-201.17*1000</f>
        <v>-201170</v>
      </c>
      <c r="D50" s="6">
        <f t="shared" si="3"/>
        <v>6292.776740027824</v>
      </c>
      <c r="E50" s="6">
        <f t="shared" si="2"/>
        <v>-194877.22325997218</v>
      </c>
      <c r="F50" s="44">
        <f>0/100</f>
        <v>0</v>
      </c>
      <c r="G50" s="45">
        <f>E50*F50</f>
        <v>0</v>
      </c>
    </row>
    <row r="51" spans="6:7" ht="12.75">
      <c r="F51" s="4">
        <f>SUM(F43:F50)</f>
        <v>1</v>
      </c>
      <c r="G51" s="39">
        <f>SUM(G43:G50)</f>
        <v>-55699.303894424076</v>
      </c>
    </row>
    <row r="53" ht="12.75">
      <c r="A53" s="36" t="s">
        <v>92</v>
      </c>
    </row>
    <row r="54" spans="1:5" ht="12.75">
      <c r="A54" s="36" t="s">
        <v>91</v>
      </c>
      <c r="B54">
        <v>76.5</v>
      </c>
      <c r="C54" s="36" t="s">
        <v>32</v>
      </c>
      <c r="D54">
        <f>273.15+B54</f>
        <v>349.65</v>
      </c>
      <c r="E54" t="s">
        <v>82</v>
      </c>
    </row>
    <row r="55" spans="1:3" ht="12.75">
      <c r="A55" s="36"/>
      <c r="C55" s="36"/>
    </row>
    <row r="56" spans="3:7" ht="12.75">
      <c r="C56" t="s">
        <v>87</v>
      </c>
      <c r="D56" t="s">
        <v>88</v>
      </c>
      <c r="E56" t="s">
        <v>89</v>
      </c>
      <c r="F56" t="s">
        <v>86</v>
      </c>
      <c r="G56" t="s">
        <v>130</v>
      </c>
    </row>
    <row r="57" spans="1:7" ht="12.75">
      <c r="A57" t="s">
        <v>0</v>
      </c>
      <c r="C57">
        <f>-393.51*1000</f>
        <v>-393510</v>
      </c>
      <c r="D57" s="33">
        <f>($B$9*D54+0.5*$C$9*D54^2+(1/3)*$D$9*D54^3+0.25*$E$9*D54^4+0.2*$F$9*D54^5)-($B$9*298.15+0.5*$C$9*298.15^2+(1/3)*$D$9*298.15^3+0.25*$E$9*298.15^4+0.2*$F$9*298.15^5)</f>
        <v>2019.8460124640387</v>
      </c>
      <c r="E57">
        <f>SUM(C57:D57)</f>
        <v>-391490.153987536</v>
      </c>
      <c r="F57">
        <f>MB!I5</f>
        <v>0.06740897485573043</v>
      </c>
      <c r="G57">
        <f>E57*F57</f>
        <v>-26389.949946411845</v>
      </c>
    </row>
    <row r="58" spans="1:7" ht="12.75">
      <c r="A58" t="s">
        <v>1</v>
      </c>
      <c r="C58">
        <f>-110.54*1000</f>
        <v>-110540</v>
      </c>
      <c r="D58" s="33">
        <f>($B$10*D54+0.5*$C$10*D54^2+(1/3)*$D$10*D54^3+0.25*$E$10*D54^4+0.2*$F$10*D54^5)-($B$10*298.15+0.5*$C$10*298.15^2+(1/3)*$D$10*298.15^3+0.25*$E$10*298.15^4+0.2*$F$10*298.15^5)</f>
        <v>1501.1180119380042</v>
      </c>
      <c r="E58">
        <f aca="true" t="shared" si="4" ref="E58:E64">SUM(C58:D58)</f>
        <v>-109038.881988062</v>
      </c>
      <c r="F58">
        <f>MB!I6</f>
        <v>0.0678275896532979</v>
      </c>
      <c r="G58">
        <f>E58*F58</f>
        <v>-7395.844543740644</v>
      </c>
    </row>
    <row r="59" spans="1:7" ht="12.75">
      <c r="A59" t="s">
        <v>2</v>
      </c>
      <c r="C59">
        <v>0</v>
      </c>
      <c r="D59" s="33">
        <f>($B$11*D54+0.5*$C$11*D54^2+(1/3)*$D$11*D54^3+0.25*$E$11*D54^4+0.2*$F$11*D54^5)-($B$11*298.15+0.5*$C$11*298.15^2+(1/3)*$D$11*298.15^3+0.25*$E$11*298.15^4+0.2*$F$11*298.15^5)</f>
        <v>1487.0339726663788</v>
      </c>
      <c r="E59" s="6">
        <f t="shared" si="4"/>
        <v>1487.0339726663788</v>
      </c>
      <c r="F59" s="4">
        <f>MB!I7</f>
        <v>0.6897615861706533</v>
      </c>
      <c r="G59" s="39">
        <v>0</v>
      </c>
    </row>
    <row r="60" spans="1:7" ht="12.75">
      <c r="A60" t="s">
        <v>3</v>
      </c>
      <c r="C60">
        <f>-74.85*1000</f>
        <v>-74850</v>
      </c>
      <c r="D60" s="33">
        <f>($B$12*D54+0.5*$C$12*D54^2+(1/3)*$D$12*D54^3+0.25*$E$12*D54^4+0.2*$F$12*D54^5)-($B$12*298.15+0.5*$C$12*298.15^2+(1/3)*$D$12*298.15^3+0.25*$E$12*298.15^4+0.2*$F$12*298.15^5)</f>
        <v>1924.751298117526</v>
      </c>
      <c r="E60" s="6">
        <f t="shared" si="4"/>
        <v>-72925.24870188248</v>
      </c>
      <c r="F60" s="4">
        <f>MB!I8</f>
        <v>0.14393290391754543</v>
      </c>
      <c r="G60" s="39">
        <f>E60*F60</f>
        <v>-10496.342814571155</v>
      </c>
    </row>
    <row r="61" spans="1:7" ht="12.75">
      <c r="A61" t="s">
        <v>4</v>
      </c>
      <c r="C61">
        <v>0</v>
      </c>
      <c r="D61" s="33">
        <f>($B$13*D54+0.5*$C$13*D54^2+(1/3)*$D$13*D54^3+0.25*$E$13*D54^4+0.2*$F$13*D54^5)-($B$13*298.15+0.5*$C$13*298.15^2+(1/3)*$D$13*298.15^3+0.25*$E$13*298.15^4+0.2*$F$13*298.15^5)</f>
        <v>1499.1815606201253</v>
      </c>
      <c r="E61" s="6">
        <f t="shared" si="4"/>
        <v>1499.1815606201253</v>
      </c>
      <c r="F61" s="4">
        <f>MB!I9</f>
        <v>0.020561843416792153</v>
      </c>
      <c r="G61" s="39">
        <v>0</v>
      </c>
    </row>
    <row r="62" spans="1:7" ht="12.75">
      <c r="A62" t="s">
        <v>5</v>
      </c>
      <c r="C62">
        <v>0</v>
      </c>
      <c r="D62" s="33">
        <f>($B$14*D54+0.5*$C$14*D54^2+(1/3)*$D$14*D54^3+0.25*$E$14*D54^4+0.2*$F$14*D54^5)-($B$14*298.15+0.5*$C$14*298.15^2+(1/3)*$D$14*298.15^3+0.25*$E$14*298.15^4+0.2*$F$14*298.15^5)</f>
        <v>1070.4789999999994</v>
      </c>
      <c r="E62" s="6">
        <f t="shared" si="4"/>
        <v>1070.4789999999994</v>
      </c>
      <c r="F62" s="4">
        <f>MB!I10</f>
        <v>0.010280921708396076</v>
      </c>
      <c r="G62" s="39">
        <v>0</v>
      </c>
    </row>
    <row r="63" spans="1:7" ht="12.75">
      <c r="A63" t="s">
        <v>6</v>
      </c>
      <c r="C63">
        <f>-241.8*1000</f>
        <v>-241800</v>
      </c>
      <c r="D63" s="33">
        <f>($B$15*D54+0.5*$C$15*D54^2+(1/3)*$D$15*D54^3+0.25*$E$15*D54^4+0.2*$F$15*D54^5)-($B$15*298.15+0.5*$C$15*298.15^2+(1/3)*$D$15*298.15^3+0.25*$E$15*298.15^4+0.2*$F$15*298.15^5)</f>
        <v>1739.7694008327908</v>
      </c>
      <c r="E63" s="6">
        <f t="shared" si="4"/>
        <v>-240060.2305991672</v>
      </c>
      <c r="F63" s="4">
        <f>MB!I11</f>
        <v>0.00022618027758471333</v>
      </c>
      <c r="G63" s="39">
        <f>E63*F63</f>
        <v>-54.29688959396993</v>
      </c>
    </row>
    <row r="64" spans="1:7" ht="12.75">
      <c r="A64" t="s">
        <v>7</v>
      </c>
      <c r="C64">
        <f>-201.17*1000</f>
        <v>-201170</v>
      </c>
      <c r="D64" s="33">
        <f>($B$16*D54+0.5*$C$16*D54^2+(1/3)*$D$16*D54^3+0.25*$E$16*D54^4+0.2*$F$16*D54^5)-($B$16*298.15+0.5*$C$16*298.15^2+(1/3)*$D$16*298.15^3+0.25*$E$16*298.15^4+0.2*$F$16*298.15^5)</f>
        <v>2404.3908998340503</v>
      </c>
      <c r="E64" s="6">
        <f t="shared" si="4"/>
        <v>-198765.60910016595</v>
      </c>
      <c r="F64" s="23">
        <f>MB!I12</f>
        <v>0</v>
      </c>
      <c r="G64" s="51">
        <f>E64*F64</f>
        <v>0</v>
      </c>
    </row>
    <row r="65" spans="4:7" ht="12.75">
      <c r="D65" s="6"/>
      <c r="E65" s="6"/>
      <c r="F65" s="4">
        <f>SUM(F57:F64)</f>
        <v>1</v>
      </c>
      <c r="G65" s="39">
        <f>SUM(G57:G64)</f>
        <v>-44336.43419431761</v>
      </c>
    </row>
    <row r="66" spans="4:7" ht="12.75">
      <c r="D66" s="6"/>
      <c r="E66" s="6"/>
      <c r="F66" s="24"/>
      <c r="G66" s="39"/>
    </row>
    <row r="67" spans="1:7" ht="12.75">
      <c r="A67" s="36" t="s">
        <v>60</v>
      </c>
      <c r="F67" s="4"/>
      <c r="G67" s="39"/>
    </row>
    <row r="68" spans="1:5" ht="12.75">
      <c r="A68" s="36" t="s">
        <v>91</v>
      </c>
      <c r="B68" s="30">
        <f>MB!B113-273.15</f>
        <v>225.53761576180278</v>
      </c>
      <c r="C68" s="36" t="s">
        <v>32</v>
      </c>
      <c r="D68" s="30">
        <f>B68+273.15</f>
        <v>498.68761576180276</v>
      </c>
      <c r="E68" t="s">
        <v>82</v>
      </c>
    </row>
    <row r="71" spans="1:7" ht="12.75">
      <c r="A71" s="36"/>
      <c r="C71" s="22" t="s">
        <v>87</v>
      </c>
      <c r="D71" t="s">
        <v>88</v>
      </c>
      <c r="E71" t="s">
        <v>89</v>
      </c>
      <c r="F71" t="s">
        <v>86</v>
      </c>
      <c r="G71" t="s">
        <v>130</v>
      </c>
    </row>
    <row r="72" spans="1:7" ht="12.75">
      <c r="A72" s="22" t="s">
        <v>0</v>
      </c>
      <c r="C72" s="22">
        <f>-393.51*1000</f>
        <v>-393510</v>
      </c>
      <c r="D72">
        <f>($B$9*D68+0.5*$C$9*D68^2+(1/3)*$D$9*D68^3+0.25*$E$9*D68^4+0.2*$F$9*D68^5)-($B$9*298.15+0.5*$C$9*298.15^2+(1/3)*$D$9*298.15^3+0.25*$E$9*298.15^4+0.2*$F$9*298.15^5)</f>
        <v>8299.598525045556</v>
      </c>
      <c r="E72">
        <f>SUM(C72:D72)</f>
        <v>-385210.40147495444</v>
      </c>
      <c r="F72">
        <f>MB!I5</f>
        <v>0.06740897485573043</v>
      </c>
      <c r="G72">
        <f>E72*F72</f>
        <v>-25966.63826719103</v>
      </c>
    </row>
    <row r="73" spans="1:7" ht="12.75">
      <c r="A73" t="s">
        <v>1</v>
      </c>
      <c r="C73">
        <f>-110.54*1000</f>
        <v>-110540</v>
      </c>
      <c r="D73" s="33">
        <f>($B$10*D68+0.5*$C$10*D68^2+(1/3)*$D$10*D68^3+0.25*$E$10*D68^4+0.2*$F$10*D68^5)-($B$10*298.15+0.5*$C$10*298.15^2+(1/3)*$D$10*298.15^3+0.25*$E$10*298.15^4+0.2*$F$10*298.15^5)</f>
        <v>5903.620038057352</v>
      </c>
      <c r="E73">
        <f aca="true" t="shared" si="5" ref="E73:E79">SUM(C73:D73)</f>
        <v>-104636.37996194264</v>
      </c>
      <c r="F73">
        <f>MB!I6</f>
        <v>0.0678275896532979</v>
      </c>
      <c r="G73">
        <f>E73*F73</f>
        <v>-7097.233442865208</v>
      </c>
    </row>
    <row r="74" spans="1:7" ht="12.75">
      <c r="A74" t="s">
        <v>2</v>
      </c>
      <c r="C74">
        <v>0</v>
      </c>
      <c r="D74">
        <f>($B$11*D68+0.5*$C$11*D68^2+(1/3)*$D$11*D68^3+0.25*$E$11*D68^4+0.2*$F$11*D68^5)-($B$11*298.15+0.5*$C$11*298.15^2+(1/3)*$D$11*298.15^3+0.25*$E$11*298.15^4+0.2*$F$11*298.15^5)</f>
        <v>5832.641713698671</v>
      </c>
      <c r="E74" s="6">
        <f t="shared" si="5"/>
        <v>5832.641713698671</v>
      </c>
      <c r="F74" s="4">
        <f>MB!I7</f>
        <v>0.6897615861706533</v>
      </c>
      <c r="G74" s="39">
        <v>0</v>
      </c>
    </row>
    <row r="75" spans="1:7" ht="12.75">
      <c r="A75" t="s">
        <v>3</v>
      </c>
      <c r="C75">
        <f>-74.85*1000</f>
        <v>-74850</v>
      </c>
      <c r="D75" s="6">
        <f>($B$12*D68+0.5*$C$12*D68^2+(1/3)*$D$12*D68^3+0.25*$E$12*D68^4+0.2*$F$12*D68^5)-($B$12*298.15+0.5*$C$12*298.15^2+(1/3)*$D$12*298.15^3+0.25*$E$12*298.15^4+0.2*$F$12*298.15^5)</f>
        <v>8210.687949376616</v>
      </c>
      <c r="E75" s="6">
        <f t="shared" si="5"/>
        <v>-66639.31205062338</v>
      </c>
      <c r="F75" s="4">
        <f>MB!I8</f>
        <v>0.14393290391754543</v>
      </c>
      <c r="G75" s="39">
        <f>E75*F75</f>
        <v>-9591.589698513702</v>
      </c>
    </row>
    <row r="76" spans="1:7" ht="12.75">
      <c r="A76" t="s">
        <v>4</v>
      </c>
      <c r="C76">
        <v>0</v>
      </c>
      <c r="D76" s="6">
        <f>($B$13*D68+0.5*$C$13*D68^2+(1/3)*$D$13*D68^3+0.25*$E$13*D68^4+0.2*$F$13*D68^5)-($B$13*298.15+0.5*$C$13*298.15^2+(1/3)*$D$13*298.15^3+0.25*$E$13*298.15^4+0.2*$F$13*298.15^5)</f>
        <v>5872.226296482004</v>
      </c>
      <c r="E76" s="6">
        <f t="shared" si="5"/>
        <v>5872.226296482004</v>
      </c>
      <c r="F76" s="4">
        <f>MB!I9</f>
        <v>0.020561843416792153</v>
      </c>
      <c r="G76" s="39">
        <v>0</v>
      </c>
    </row>
    <row r="77" spans="1:7" ht="12.75">
      <c r="A77" t="s">
        <v>5</v>
      </c>
      <c r="C77">
        <v>0</v>
      </c>
      <c r="D77" s="6">
        <f>($B$14*D68+0.5*$C$14*D68^2+(1/3)*$D$14*D68^3+0.25*$E$14*D68^4+0.2*$F$14*D68^5)-($B$14*298.15+0.5*$C$14*298.15^2+(1/3)*$D$14*298.15^3+0.25*$E$14*298.15^4+0.2*$F$14*298.15^5)</f>
        <v>4168.374881224832</v>
      </c>
      <c r="E77" s="6">
        <f t="shared" si="5"/>
        <v>4168.374881224832</v>
      </c>
      <c r="F77" s="4">
        <f>MB!I10</f>
        <v>0.010280921708396076</v>
      </c>
      <c r="G77" s="39">
        <v>0</v>
      </c>
    </row>
    <row r="78" spans="1:7" ht="12.75">
      <c r="A78" t="s">
        <v>6</v>
      </c>
      <c r="C78">
        <f>-241.8*1000</f>
        <v>-241800</v>
      </c>
      <c r="D78" s="6">
        <f>($B$15*D68+0.5*$C$15*D68^2+(1/3)*$D$15*D68^3+0.25*$E$15*D68^4+0.2*$F$15*D68^5)-($B$15*298.15+0.5*$C$15*298.15^2+(1/3)*$D$15*298.15^3+0.25*$E$15*298.15^4+0.2*$F$15*298.15^5)</f>
        <v>6884.958268706074</v>
      </c>
      <c r="E78" s="6">
        <f t="shared" si="5"/>
        <v>-234915.04173129392</v>
      </c>
      <c r="F78" s="4">
        <f>MB!I11</f>
        <v>0.00022618027758471333</v>
      </c>
      <c r="G78" s="39">
        <f>E78*F78</f>
        <v>-53.13314934760858</v>
      </c>
    </row>
    <row r="79" spans="1:7" ht="12.75">
      <c r="A79" t="s">
        <v>7</v>
      </c>
      <c r="C79">
        <f>-201.17*1000</f>
        <v>-201170</v>
      </c>
      <c r="D79" s="6">
        <f>($B$16*D68+0.5*$C$16*D68^2+(1/3)*$D$16*D68^3+0.25*$E$16*D68^4+0.2*$F$16*D68^5)-($B$16*298.15+0.5*$C$16*298.15^2+(1/3)*$D$16*298.15^3+0.25*$E$16*298.15^4+0.2*$F$16*298.15^5)</f>
        <v>10362.469988754023</v>
      </c>
      <c r="E79" s="6">
        <f t="shared" si="5"/>
        <v>-190807.53001124598</v>
      </c>
      <c r="F79" s="23">
        <f>MB!I12</f>
        <v>0</v>
      </c>
      <c r="G79" s="51">
        <f>E79*F79</f>
        <v>0</v>
      </c>
    </row>
    <row r="80" spans="4:7" ht="12.75">
      <c r="D80" s="6"/>
      <c r="E80" s="6"/>
      <c r="F80" s="4">
        <f>SUM(F72:F79)</f>
        <v>1</v>
      </c>
      <c r="G80" s="39">
        <f>SUM(G72:G79)</f>
        <v>-42708.594557917546</v>
      </c>
    </row>
    <row r="81" spans="4:7" ht="12.75">
      <c r="D81" s="6"/>
      <c r="E81" s="6"/>
      <c r="F81" s="4"/>
      <c r="G81" s="39"/>
    </row>
    <row r="82" spans="1:7" ht="12.75">
      <c r="A82" s="36" t="s">
        <v>61</v>
      </c>
      <c r="D82" s="6"/>
      <c r="E82" s="6"/>
      <c r="F82" s="24"/>
      <c r="G82" s="39"/>
    </row>
    <row r="83" spans="1:7" ht="12.75">
      <c r="A83" s="36" t="s">
        <v>91</v>
      </c>
      <c r="B83">
        <v>255</v>
      </c>
      <c r="C83" s="36" t="s">
        <v>32</v>
      </c>
      <c r="D83">
        <f>273.15+B83</f>
        <v>528.15</v>
      </c>
      <c r="E83" t="s">
        <v>82</v>
      </c>
      <c r="F83" s="4"/>
      <c r="G83" s="39"/>
    </row>
    <row r="86" spans="1:7" ht="12.75">
      <c r="A86" s="36"/>
      <c r="C86" s="22" t="s">
        <v>87</v>
      </c>
      <c r="D86" t="s">
        <v>88</v>
      </c>
      <c r="E86" t="s">
        <v>89</v>
      </c>
      <c r="F86" t="s">
        <v>86</v>
      </c>
      <c r="G86" t="s">
        <v>130</v>
      </c>
    </row>
    <row r="87" spans="1:7" ht="12.75">
      <c r="A87" s="22" t="s">
        <v>0</v>
      </c>
      <c r="C87" s="22">
        <f>-393.51*1000</f>
        <v>-393510</v>
      </c>
      <c r="D87">
        <f>($B$9*D83+0.5*$C$9*D83^2+(1/3)*$D$9*D83^3+0.25*$E$9*D83^4+0.2*$F$9*D83^5)-($B$9*298.15+0.5*$C$9*298.15^2+(1/3)*$D$9*298.15^3+0.25*$E$9*298.15^4+0.2*$F$9*298.15^5)</f>
        <v>9611.464054525128</v>
      </c>
      <c r="E87">
        <f>SUM(C87:D87)</f>
        <v>-383898.53594547487</v>
      </c>
      <c r="F87">
        <f>MB!K5</f>
        <v>0.058424181106252096</v>
      </c>
      <c r="G87">
        <f>E87*F87</f>
        <v>-22428.957590503454</v>
      </c>
    </row>
    <row r="88" spans="1:7" ht="12.75">
      <c r="A88" t="s">
        <v>1</v>
      </c>
      <c r="C88">
        <f>-110.54*1000</f>
        <v>-110540</v>
      </c>
      <c r="D88">
        <f>($B$10*D83+0.5*$C$10*D83^2+(1/3)*$D$10*D83^3+0.25*$E$10*D83^4+0.2*$F$10*D83^5)-($B$10*298.15+0.5*$C$10*298.15^2+(1/3)*$D$10*298.15^3+0.25*$E$10*298.15^4+0.2*$F$10*298.15^5)</f>
        <v>6787.088953351398</v>
      </c>
      <c r="E88">
        <f aca="true" t="shared" si="6" ref="E88:E94">SUM(C88:D88)</f>
        <v>-103752.9110466486</v>
      </c>
      <c r="F88">
        <f>MB!K6</f>
        <v>0.02355692182109413</v>
      </c>
      <c r="G88">
        <f>E88*F88</f>
        <v>-2444.099214236835</v>
      </c>
    </row>
    <row r="89" spans="1:7" ht="12.75">
      <c r="A89" t="s">
        <v>2</v>
      </c>
      <c r="C89">
        <v>0</v>
      </c>
      <c r="D89">
        <f>($B$11*D83+0.5*$C$11*D83^2+(1/3)*$D$11*D83^3+0.25*$E$11*D83^4+0.2*$F$11*D83^5)-($B$11*298.15+0.5*$C$11*298.15^2+(1/3)*$D$11*298.15^3+0.25*$E$11*298.15^4+0.2*$F$11*298.15^5)</f>
        <v>6695.978127604991</v>
      </c>
      <c r="E89" s="6">
        <f t="shared" si="6"/>
        <v>6695.978127604991</v>
      </c>
      <c r="F89" s="4">
        <f>MB!K7</f>
        <v>0.6256402736731538</v>
      </c>
      <c r="G89" s="39">
        <v>0</v>
      </c>
    </row>
    <row r="90" spans="1:7" ht="12.75">
      <c r="A90" t="s">
        <v>3</v>
      </c>
      <c r="C90">
        <f>-74.85*1000</f>
        <v>-74850</v>
      </c>
      <c r="D90">
        <f>($B$12*D83+0.5*$C$12*D83^2+(1/3)*$D$12*D83^3+0.25*$E$12*D83^4+0.2*$F$12*D83^5)-($B$12*298.15+0.5*$C$12*298.15^2+(1/3)*$D$12*298.15^3+0.25*$E$12*298.15^4+0.2*$F$12*298.15^5)</f>
        <v>9595.982451402628</v>
      </c>
      <c r="E90" s="6">
        <f t="shared" si="6"/>
        <v>-65254.017548597374</v>
      </c>
      <c r="F90" s="4">
        <f>MB!K8</f>
        <v>0.16494710788950723</v>
      </c>
      <c r="G90" s="39">
        <f>E90*F90</f>
        <v>-10763.461472812289</v>
      </c>
    </row>
    <row r="91" spans="1:7" ht="12.75">
      <c r="A91" t="s">
        <v>4</v>
      </c>
      <c r="C91">
        <v>0</v>
      </c>
      <c r="D91">
        <f>($B$13*D83+0.5*$C$13*D83^2+(1/3)*$D$13*D83^3+0.25*$E$13*D83^4+0.2*$F$13*D83^5)-($B$13*298.15+0.5*$C$13*298.15^2+(1/3)*$D$13*298.15^3+0.25*$E$13*298.15^4+0.2*$F$13*298.15^5)</f>
        <v>6744.771243391522</v>
      </c>
      <c r="E91" s="6">
        <f t="shared" si="6"/>
        <v>6744.771243391522</v>
      </c>
      <c r="F91" s="4">
        <f>MB!K9</f>
        <v>0.023563872555643833</v>
      </c>
      <c r="G91" s="39">
        <v>0</v>
      </c>
    </row>
    <row r="92" spans="1:7" ht="12.75">
      <c r="A92" t="s">
        <v>5</v>
      </c>
      <c r="C92">
        <v>0</v>
      </c>
      <c r="D92">
        <f>($B$14*D83+0.5*$C$14*D83^2+(1/3)*$D$14*D83^3+0.25*$E$14*D83^4+0.2*$F$14*D83^5)-($B$14*298.15+0.5*$C$14*298.15^2+(1/3)*$D$14*298.15^3+0.25*$E$14*298.15^4+0.2*$F$14*298.15^5)</f>
        <v>4780.780000000001</v>
      </c>
      <c r="E92" s="6">
        <f t="shared" si="6"/>
        <v>4780.780000000001</v>
      </c>
      <c r="F92" s="4">
        <f>MB!K10</f>
        <v>0.011781936277821916</v>
      </c>
      <c r="G92" s="39">
        <v>0</v>
      </c>
    </row>
    <row r="93" spans="1:7" ht="12.75">
      <c r="A93" t="s">
        <v>6</v>
      </c>
      <c r="C93">
        <f>-241.8*1000</f>
        <v>-241800</v>
      </c>
      <c r="D93">
        <f>($B$15*D83+0.5*$C$15*D83^2+(1/3)*$D$15*D83^3+0.25*$E$15*D83^4+0.2*$F$15*D83^5)-($B$15*298.15+0.5*$C$15*298.15^2+(1/3)*$D$15*298.15^3+0.25*$E$15*298.15^4+0.2*$F$15*298.15^5)</f>
        <v>7926.122939302191</v>
      </c>
      <c r="E93" s="6">
        <f t="shared" si="6"/>
        <v>-233873.87706069782</v>
      </c>
      <c r="F93" s="4">
        <f>MB!K11</f>
        <v>0.019085706676526964</v>
      </c>
      <c r="G93" s="39">
        <f>E93*F93</f>
        <v>-4463.648216882607</v>
      </c>
    </row>
    <row r="94" spans="1:7" ht="12.75">
      <c r="A94" t="s">
        <v>7</v>
      </c>
      <c r="C94">
        <f>-201.17*1000</f>
        <v>-201170</v>
      </c>
      <c r="D94">
        <f>($B$16*D83+0.5*$C$16*D83^2+(1/3)*$D$16*D83^3+0.25*$E$16*D83^4+0.2*$F$16*D83^5)-($B$16*298.15+0.5*$C$16*298.15^2+(1/3)*$D$16*298.15^3+0.25*$E$16*298.15^4+0.2*$F$16*298.15^5)</f>
        <v>12126.396447497882</v>
      </c>
      <c r="E94" s="6">
        <f t="shared" si="6"/>
        <v>-189043.6035525021</v>
      </c>
      <c r="F94" s="23">
        <f>MB!K12</f>
        <v>0.07300000000000006</v>
      </c>
      <c r="G94" s="51">
        <f>E94*F94</f>
        <v>-13800.183059332667</v>
      </c>
    </row>
    <row r="95" spans="5:7" ht="12.75">
      <c r="E95" s="6"/>
      <c r="F95" s="4">
        <f>SUM(F87:F94)</f>
        <v>1</v>
      </c>
      <c r="G95" s="39">
        <f>SUM(G87:G94)</f>
        <v>-53900.34955376785</v>
      </c>
    </row>
    <row r="97" spans="1:9" ht="12.75">
      <c r="A97" s="36" t="s">
        <v>102</v>
      </c>
      <c r="I97" s="36" t="s">
        <v>138</v>
      </c>
    </row>
    <row r="98" spans="1:13" ht="12.75">
      <c r="A98" s="36" t="s">
        <v>91</v>
      </c>
      <c r="B98">
        <v>118</v>
      </c>
      <c r="C98" s="36" t="s">
        <v>32</v>
      </c>
      <c r="D98">
        <f>B98+273.15</f>
        <v>391.15</v>
      </c>
      <c r="E98" t="s">
        <v>82</v>
      </c>
      <c r="I98" s="36" t="s">
        <v>91</v>
      </c>
      <c r="J98">
        <v>118</v>
      </c>
      <c r="K98" s="36" t="s">
        <v>32</v>
      </c>
      <c r="L98">
        <f>273.15+J98</f>
        <v>391.15</v>
      </c>
      <c r="M98" t="s">
        <v>82</v>
      </c>
    </row>
    <row r="101" spans="1:15" ht="12.75">
      <c r="A101" s="36"/>
      <c r="C101" s="22" t="s">
        <v>87</v>
      </c>
      <c r="D101" t="s">
        <v>88</v>
      </c>
      <c r="E101" t="s">
        <v>89</v>
      </c>
      <c r="F101" t="s">
        <v>86</v>
      </c>
      <c r="G101" t="s">
        <v>130</v>
      </c>
      <c r="I101" s="36"/>
      <c r="K101" s="22" t="s">
        <v>139</v>
      </c>
      <c r="L101" t="s">
        <v>88</v>
      </c>
      <c r="M101" t="s">
        <v>89</v>
      </c>
      <c r="N101" t="s">
        <v>86</v>
      </c>
      <c r="O101" t="s">
        <v>130</v>
      </c>
    </row>
    <row r="102" spans="1:15" ht="12.75">
      <c r="A102" s="22" t="s">
        <v>0</v>
      </c>
      <c r="C102" s="22">
        <f>-393.51*1000</f>
        <v>-393510</v>
      </c>
      <c r="D102">
        <f>($B$9*D98+0.5*$C$9*D98^2+(1/3)*$D$9*D98^3+0.25*$E$9*D98^4+0.2*$F$9*D98^5)-($B$9*298.15+0.5*$C$9*298.15^2+(1/3)*$D$9*298.15^3+0.25*$E$9*298.15^4+0.2*$F$9*298.15^5)</f>
        <v>3705.695745013092</v>
      </c>
      <c r="E102">
        <f>C102+D102</f>
        <v>-389804.3042549869</v>
      </c>
      <c r="F102">
        <f>MB!O5</f>
        <v>0.06040098452788057</v>
      </c>
      <c r="G102">
        <f>E102*F102</f>
        <v>-23544.563750206715</v>
      </c>
      <c r="I102" s="22" t="s">
        <v>0</v>
      </c>
      <c r="K102" s="22"/>
      <c r="M102">
        <f>K102+L102</f>
        <v>0</v>
      </c>
      <c r="N102">
        <f>MB!M5</f>
        <v>0</v>
      </c>
      <c r="O102">
        <f>M102*N102</f>
        <v>0</v>
      </c>
    </row>
    <row r="103" spans="1:15" ht="12.75">
      <c r="A103" t="s">
        <v>1</v>
      </c>
      <c r="C103">
        <f>-110.54*1000</f>
        <v>-110540</v>
      </c>
      <c r="D103">
        <f>($B$10*D98+0.5*$C$10*D98^2+(1/3)*$D$10*D98^3+0.25*$E$10*D98^4+0.2*$F$10*D98^5)-($B$10*298.15+0.5*$C$10*298.15^2+(1/3)*$D$10*298.15^3+0.25*$E$10*298.15^4+0.2*$F$10*298.15^5)</f>
        <v>2717.180072639716</v>
      </c>
      <c r="E103">
        <f aca="true" t="shared" si="7" ref="E103:E109">C103+D103</f>
        <v>-107822.81992736028</v>
      </c>
      <c r="F103">
        <f>MB!O6</f>
        <v>0.024353978840588927</v>
      </c>
      <c r="G103">
        <f aca="true" t="shared" si="8" ref="G103:G109">E103*F103</f>
        <v>-2625.9146750435625</v>
      </c>
      <c r="I103" t="s">
        <v>1</v>
      </c>
      <c r="M103">
        <f aca="true" t="shared" si="9" ref="M103:M109">K103+L103</f>
        <v>0</v>
      </c>
      <c r="N103">
        <f>MB!M6</f>
        <v>0</v>
      </c>
      <c r="O103">
        <f aca="true" t="shared" si="10" ref="O103:O109">M103*N103</f>
        <v>0</v>
      </c>
    </row>
    <row r="104" spans="1:15" ht="12.75">
      <c r="A104" t="s">
        <v>2</v>
      </c>
      <c r="C104">
        <v>0</v>
      </c>
      <c r="D104">
        <f>($B$11*D98+0.5*$C$11*D98^2+(1/3)*$D$11*D98^3+0.25*$E$11*D98^4+0.2*$F$11*D98^5)-($B$11*298.15+0.5*$C$11*298.15^2+(1/3)*$D$11*298.15^3+0.25*$E$11*298.15^4+0.2*$F$11*298.15^5)</f>
        <v>2692.1057508412105</v>
      </c>
      <c r="E104">
        <f t="shared" si="7"/>
        <v>2692.1057508412105</v>
      </c>
      <c r="F104">
        <f>MB!O7</f>
        <v>0.6468090399320499</v>
      </c>
      <c r="G104">
        <f t="shared" si="8"/>
        <v>1741.2783360971537</v>
      </c>
      <c r="I104" t="s">
        <v>2</v>
      </c>
      <c r="M104">
        <f t="shared" si="9"/>
        <v>0</v>
      </c>
      <c r="N104">
        <f>MB!M7</f>
        <v>0</v>
      </c>
      <c r="O104">
        <f t="shared" si="10"/>
        <v>0</v>
      </c>
    </row>
    <row r="105" spans="1:15" ht="12.75">
      <c r="A105" t="s">
        <v>3</v>
      </c>
      <c r="C105">
        <f>-74.85*1000</f>
        <v>-74850</v>
      </c>
      <c r="D105">
        <f>($B$12*D98+0.5*$C$12*D98^2+(1/3)*$D$12*D98^3+0.25*$E$12*D98^4+0.2*$F$12*D98^5)-($B$12*298.15+0.5*$C$12*298.15^2+(1/3)*$D$12*298.15^3+0.25*$E$12*298.15^4+0.2*$F$12*298.15^5)</f>
        <v>3561.218660374747</v>
      </c>
      <c r="E105">
        <f t="shared" si="7"/>
        <v>-71288.78133962525</v>
      </c>
      <c r="F105">
        <f>MB!O8</f>
        <v>0.17052815329039528</v>
      </c>
      <c r="G105">
        <f t="shared" si="8"/>
        <v>-12156.744232169085</v>
      </c>
      <c r="I105" t="s">
        <v>3</v>
      </c>
      <c r="M105">
        <f t="shared" si="9"/>
        <v>0</v>
      </c>
      <c r="N105">
        <f>MB!M8</f>
        <v>0</v>
      </c>
      <c r="O105">
        <f t="shared" si="10"/>
        <v>0</v>
      </c>
    </row>
    <row r="106" spans="1:15" ht="12.75">
      <c r="A106" t="s">
        <v>4</v>
      </c>
      <c r="C106">
        <v>0</v>
      </c>
      <c r="D106">
        <f>($B$13*D98+0.5*$C$13*D98^2+(1/3)*$D$13*D98^3+0.25*$E$13*D98^4+0.2*$F$13*D98^5)-($B$13*298.15+0.5*$C$13*298.15^2+(1/3)*$D$13*298.15^3+0.25*$E$13*298.15^4+0.2*$F$13*298.15^5)</f>
        <v>2710.9784065280564</v>
      </c>
      <c r="E106">
        <f t="shared" si="7"/>
        <v>2710.9784065280564</v>
      </c>
      <c r="F106">
        <f>MB!O9</f>
        <v>0.024361164755770694</v>
      </c>
      <c r="G106">
        <f t="shared" si="8"/>
        <v>66.04259161076668</v>
      </c>
      <c r="I106" t="s">
        <v>4</v>
      </c>
      <c r="M106">
        <f t="shared" si="9"/>
        <v>0</v>
      </c>
      <c r="N106">
        <f>MB!M9</f>
        <v>0</v>
      </c>
      <c r="O106">
        <f t="shared" si="10"/>
        <v>0</v>
      </c>
    </row>
    <row r="107" spans="1:15" ht="12.75">
      <c r="A107" t="s">
        <v>5</v>
      </c>
      <c r="C107">
        <v>0</v>
      </c>
      <c r="D107">
        <f>($B$14*D98+0.5*$C$14*D98^2+(1/3)*$D$14*D98^3+0.25*$E$14*D98^4+0.2*$F$14*D98^5)-($B$14*298.15+0.5*$C$14*298.15^2+(1/3)*$D$14*298.15^3+0.25*$E$14*298.15^4+0.2*$F$14*298.15^5)</f>
        <v>1933.098</v>
      </c>
      <c r="E107">
        <f t="shared" si="7"/>
        <v>1933.098</v>
      </c>
      <c r="F107">
        <f>MB!O10</f>
        <v>0.012180582377885347</v>
      </c>
      <c r="G107">
        <f t="shared" si="8"/>
        <v>23.546259433525407</v>
      </c>
      <c r="I107" t="s">
        <v>5</v>
      </c>
      <c r="M107">
        <f t="shared" si="9"/>
        <v>0</v>
      </c>
      <c r="N107">
        <f>MB!M10</f>
        <v>0</v>
      </c>
      <c r="O107">
        <f t="shared" si="10"/>
        <v>0</v>
      </c>
    </row>
    <row r="108" spans="1:15" ht="12.75">
      <c r="A108" t="s">
        <v>6</v>
      </c>
      <c r="C108">
        <f>-241.8*1000</f>
        <v>-241800</v>
      </c>
      <c r="D108">
        <f>($B$15*D98+0.5*$C$15*D98^2+(1/3)*$D$15*D98^3+0.25*$E$15*D98^4+0.2*$F$15*D98^5)-($B$15*298.15+0.5*$C$15*298.15^2+(1/3)*$D$15*298.15^3+0.25*$E$15*298.15^4+0.2*$F$15*298.15^5)</f>
        <v>3154.2273343972065</v>
      </c>
      <c r="E108">
        <f t="shared" si="7"/>
        <v>-238645.7726656028</v>
      </c>
      <c r="F108">
        <f>MB!O11</f>
        <v>0.00789205751874157</v>
      </c>
      <c r="G108">
        <f t="shared" si="8"/>
        <v>-1883.406164481462</v>
      </c>
      <c r="I108" t="s">
        <v>6</v>
      </c>
      <c r="K108">
        <f>-286*1000</f>
        <v>-286000</v>
      </c>
      <c r="L108" s="30">
        <f>MB!K62</f>
        <v>76.13682821927588</v>
      </c>
      <c r="M108" s="30">
        <f t="shared" si="9"/>
        <v>-285923.8631717807</v>
      </c>
      <c r="N108" s="10">
        <f>MB!M11</f>
        <v>0.3470284974623854</v>
      </c>
      <c r="O108">
        <f t="shared" si="10"/>
        <v>-99223.72862514373</v>
      </c>
    </row>
    <row r="109" spans="1:15" ht="12.75">
      <c r="A109" t="s">
        <v>7</v>
      </c>
      <c r="C109">
        <f>-201.17*1000</f>
        <v>-201170</v>
      </c>
      <c r="D109">
        <f>($B$16*D98+0.5*$C$16*D98^2+(1/3)*$D$16*D98^3+0.25*$E$16*D98^4+0.2*$F$16*D98^5)-($B$16*298.15+0.5*$C$16*298.15^2+(1/3)*$D$16*298.15^3+0.25*$E$16*298.15^4+0.2*$F$16*298.15^5)</f>
        <v>4464.284463168464</v>
      </c>
      <c r="E109">
        <f t="shared" si="7"/>
        <v>-196705.71553683153</v>
      </c>
      <c r="F109" s="23">
        <f>MB!O12</f>
        <v>0.051619197784737066</v>
      </c>
      <c r="G109" s="23">
        <f t="shared" si="8"/>
        <v>-10153.791235683933</v>
      </c>
      <c r="I109" t="s">
        <v>7</v>
      </c>
      <c r="K109">
        <f>-238.8*1000</f>
        <v>-238800</v>
      </c>
      <c r="L109" s="30">
        <f>MB!I62</f>
        <v>91.50001527145835</v>
      </c>
      <c r="M109" s="30">
        <f t="shared" si="9"/>
        <v>-238708.49998472855</v>
      </c>
      <c r="N109" s="31">
        <f>MB!M12</f>
        <v>0.6990968278897521</v>
      </c>
      <c r="O109" s="23">
        <f t="shared" si="10"/>
        <v>-166880.35512964468</v>
      </c>
    </row>
    <row r="110" spans="6:15" ht="12.75">
      <c r="F110">
        <f>SUM(F102:F109)</f>
        <v>0.9981451590280492</v>
      </c>
      <c r="G110">
        <f>SUM(G102:G109)</f>
        <v>-48533.55287044331</v>
      </c>
      <c r="N110" s="10">
        <f>SUM(N102:N109)</f>
        <v>1.0461253253521376</v>
      </c>
      <c r="O110">
        <f>SUM(O102:O109)</f>
        <v>-266104.0837547884</v>
      </c>
    </row>
    <row r="112" spans="1:9" ht="12.75">
      <c r="A112" s="36" t="s">
        <v>103</v>
      </c>
      <c r="I112" s="36" t="s">
        <v>147</v>
      </c>
    </row>
    <row r="113" spans="1:12" ht="12.75">
      <c r="A113" s="36" t="s">
        <v>91</v>
      </c>
      <c r="B113">
        <v>110</v>
      </c>
      <c r="C113" s="36" t="s">
        <v>32</v>
      </c>
      <c r="D113">
        <f>273.15+B113</f>
        <v>383.15</v>
      </c>
      <c r="I113" s="36" t="s">
        <v>91</v>
      </c>
      <c r="J113">
        <v>110</v>
      </c>
      <c r="K113" s="36" t="s">
        <v>32</v>
      </c>
      <c r="L113">
        <f>273.15+J113</f>
        <v>383.15</v>
      </c>
    </row>
    <row r="116" spans="3:15" ht="12.75">
      <c r="C116" s="22" t="s">
        <v>87</v>
      </c>
      <c r="D116" t="s">
        <v>88</v>
      </c>
      <c r="E116" t="s">
        <v>89</v>
      </c>
      <c r="F116" t="s">
        <v>86</v>
      </c>
      <c r="G116" t="s">
        <v>130</v>
      </c>
      <c r="K116" s="22" t="s">
        <v>87</v>
      </c>
      <c r="L116" t="s">
        <v>88</v>
      </c>
      <c r="M116" t="s">
        <v>89</v>
      </c>
      <c r="N116" t="s">
        <v>86</v>
      </c>
      <c r="O116" t="s">
        <v>130</v>
      </c>
    </row>
    <row r="117" spans="1:15" ht="12.75">
      <c r="A117" s="22" t="s">
        <v>0</v>
      </c>
      <c r="C117" s="22">
        <f>-393.51*1000</f>
        <v>-393510</v>
      </c>
      <c r="D117">
        <f>($B$9*D113+0.5*$C$9*D113^2+(1/3)*$D$9*D113^3+0.25*$E$9*D113^4+0.2*$F$9*D113^5)-($B$9*298.15+0.5*$C$9*298.15^2+(1/3)*$D$9*298.15^3+0.25*$E$9*298.15^4+0.2*$F$9*298.15^5)</f>
        <v>3376.788679308078</v>
      </c>
      <c r="E117">
        <f>C117+D117</f>
        <v>-390133.2113206919</v>
      </c>
      <c r="F117">
        <f>MB!T5</f>
        <v>0.0611771529908399</v>
      </c>
      <c r="G117">
        <f>F117*E117</f>
        <v>-23867.239155773645</v>
      </c>
      <c r="I117" s="22" t="s">
        <v>0</v>
      </c>
      <c r="K117" s="22"/>
      <c r="M117">
        <f>K117+L117</f>
        <v>0</v>
      </c>
      <c r="N117">
        <f>MB!R5</f>
        <v>0</v>
      </c>
      <c r="O117">
        <f>N117*M117</f>
        <v>0</v>
      </c>
    </row>
    <row r="118" spans="1:15" ht="12.75">
      <c r="A118" t="s">
        <v>1</v>
      </c>
      <c r="C118">
        <f>-110.54*1000</f>
        <v>-110540</v>
      </c>
      <c r="D118">
        <f>($B$10*D113+0.5*$C$10*D113^2+(1/3)*$D$10*D113^3+0.25*$E$10*D113^4+0.2*$F$10*D113^5)-($B$10*298.15+0.5*$C$10*298.15^2+(1/3)*$D$10*298.15^3+0.25*$E$10*298.15^4+0.2*$F$10*298.15^5)</f>
        <v>2482.2455634361377</v>
      </c>
      <c r="E118">
        <f aca="true" t="shared" si="11" ref="E118:E124">C118+D118</f>
        <v>-108057.75443656386</v>
      </c>
      <c r="F118">
        <f>MB!T6</f>
        <v>0.02466693384407763</v>
      </c>
      <c r="G118">
        <f aca="true" t="shared" si="12" ref="G118:G124">F118*E118</f>
        <v>-2665.453480026307</v>
      </c>
      <c r="I118" t="s">
        <v>1</v>
      </c>
      <c r="M118">
        <f aca="true" t="shared" si="13" ref="M118:M124">K118+L118</f>
        <v>0</v>
      </c>
      <c r="N118">
        <f>MB!R6</f>
        <v>0</v>
      </c>
      <c r="O118">
        <f aca="true" t="shared" si="14" ref="O118:O124">N118*M118</f>
        <v>0</v>
      </c>
    </row>
    <row r="119" spans="1:15" ht="12.75">
      <c r="A119" t="s">
        <v>2</v>
      </c>
      <c r="C119">
        <v>0</v>
      </c>
      <c r="D119">
        <f>($B$11*D113+0.5*$C$11*D113^2+(1/3)*$D$11*D113^3+0.25*$E$11*D113^4+0.2*$F$11*D113^5)-($B$11*298.15+0.5*$C$11*298.15^2+(1/3)*$D$11*298.15^3+0.25*$E$11*298.15^4+0.2*$F$11*298.15^5)</f>
        <v>2459.4168715620217</v>
      </c>
      <c r="E119">
        <f t="shared" si="11"/>
        <v>2459.4168715620217</v>
      </c>
      <c r="F119">
        <f>MB!T7</f>
        <v>0.655120705416915</v>
      </c>
      <c r="G119">
        <f t="shared" si="12"/>
        <v>1611.214915811974</v>
      </c>
      <c r="I119" t="s">
        <v>2</v>
      </c>
      <c r="M119">
        <f t="shared" si="13"/>
        <v>0</v>
      </c>
      <c r="N119">
        <f>MB!R7</f>
        <v>0</v>
      </c>
      <c r="O119">
        <f t="shared" si="14"/>
        <v>0</v>
      </c>
    </row>
    <row r="120" spans="1:15" ht="12.75">
      <c r="A120" t="s">
        <v>3</v>
      </c>
      <c r="C120">
        <f>-74.85*1000</f>
        <v>-74850</v>
      </c>
      <c r="D120">
        <f>($B$12*D113+0.5*$C$12*D113^2+(1/3)*$D$12*D113^3+0.25*$E$12*D113^4+0.2*$F$12*D113^5)-($B$12*298.15+0.5*$C$12*298.15^2+(1/3)*$D$12*298.15^3+0.25*$E$12*298.15^4+0.2*$F$12*298.15^5)</f>
        <v>3239.3769614699777</v>
      </c>
      <c r="E120">
        <f t="shared" si="11"/>
        <v>-71610.62303853003</v>
      </c>
      <c r="F120">
        <f>MB!T8</f>
        <v>0.17271948470105472</v>
      </c>
      <c r="G120">
        <f t="shared" si="12"/>
        <v>-12368.549910336384</v>
      </c>
      <c r="I120" t="s">
        <v>3</v>
      </c>
      <c r="M120">
        <f t="shared" si="13"/>
        <v>0</v>
      </c>
      <c r="N120">
        <f>MB!R8</f>
        <v>0</v>
      </c>
      <c r="O120">
        <f t="shared" si="14"/>
        <v>0</v>
      </c>
    </row>
    <row r="121" spans="1:15" ht="12.75">
      <c r="A121" t="s">
        <v>4</v>
      </c>
      <c r="C121">
        <v>0</v>
      </c>
      <c r="D121">
        <f>($B$13*D113+0.5*$C$13*D113^2+(1/3)*$D$13*D113^3+0.25*$E$13*D113^4+0.2*$F$13*D113^5)-($B$13*298.15+0.5*$C$13*298.15^2+(1/3)*$D$13*298.15^3+0.25*$E$13*298.15^4+0.2*$F$13*298.15^5)</f>
        <v>2477.07771731868</v>
      </c>
      <c r="E121">
        <f t="shared" si="11"/>
        <v>2477.07771731868</v>
      </c>
      <c r="F121">
        <f>MB!T9</f>
        <v>0.02467421210015061</v>
      </c>
      <c r="G121">
        <f t="shared" si="12"/>
        <v>61.11994098567802</v>
      </c>
      <c r="I121" t="s">
        <v>4</v>
      </c>
      <c r="M121">
        <f t="shared" si="13"/>
        <v>0</v>
      </c>
      <c r="N121">
        <f>MB!R9</f>
        <v>0</v>
      </c>
      <c r="O121">
        <f t="shared" si="14"/>
        <v>0</v>
      </c>
    </row>
    <row r="122" spans="1:15" ht="12.75">
      <c r="A122" t="s">
        <v>5</v>
      </c>
      <c r="C122">
        <v>0</v>
      </c>
      <c r="D122">
        <f>($B$14*D113+0.5*$C$14*D113^2+(1/3)*$D$14*D113^3+0.25*$E$14*D113^4+0.2*$F$14*D113^5)-($B$14*298.15+0.5*$C$14*298.15^2+(1/3)*$D$14*298.15^3+0.25*$E$14*298.15^4+0.2*$F$14*298.15^5)</f>
        <v>1766.8099999999995</v>
      </c>
      <c r="E122">
        <f t="shared" si="11"/>
        <v>1766.8099999999995</v>
      </c>
      <c r="F122">
        <f>MB!T10</f>
        <v>0.012337106050075305</v>
      </c>
      <c r="G122">
        <f t="shared" si="12"/>
        <v>21.797322340333544</v>
      </c>
      <c r="I122" t="s">
        <v>5</v>
      </c>
      <c r="M122">
        <f t="shared" si="13"/>
        <v>0</v>
      </c>
      <c r="N122">
        <f>MB!R10</f>
        <v>0</v>
      </c>
      <c r="O122">
        <f t="shared" si="14"/>
        <v>0</v>
      </c>
    </row>
    <row r="123" spans="1:15" ht="12.75">
      <c r="A123" t="s">
        <v>6</v>
      </c>
      <c r="C123">
        <f>-241.8*1000</f>
        <v>-241800</v>
      </c>
      <c r="D123">
        <f>($B$15*D113+0.5*$C$15*D113^2+(1/3)*$D$15*D113^3+0.25*$E$15*D113^4+0.2*$F$15*D113^5)-($B$15*298.15+0.5*$C$15*298.15^2+(1/3)*$D$15*298.15^3+0.25*$E$15*298.15^4+0.2*$F$15*298.15^5)</f>
        <v>2880.58817443467</v>
      </c>
      <c r="E123">
        <f t="shared" si="11"/>
        <v>-238919.41182556533</v>
      </c>
      <c r="F123">
        <f>MB!T11</f>
        <v>0.0054343838912945044</v>
      </c>
      <c r="G123">
        <f t="shared" si="12"/>
        <v>-1298.37980294241</v>
      </c>
      <c r="I123" t="s">
        <v>6</v>
      </c>
      <c r="K123">
        <f>-286*1000</f>
        <v>-286000</v>
      </c>
      <c r="L123" s="30">
        <f>MB!K63</f>
        <v>75.8401781833673</v>
      </c>
      <c r="M123">
        <f t="shared" si="13"/>
        <v>-285924.1598218166</v>
      </c>
      <c r="N123" s="10">
        <f>MB!R11</f>
        <v>0.30879711245201497</v>
      </c>
      <c r="O123">
        <f t="shared" si="14"/>
        <v>-88292.5549332454</v>
      </c>
    </row>
    <row r="124" spans="1:15" ht="12.75">
      <c r="A124" t="s">
        <v>7</v>
      </c>
      <c r="C124">
        <f>-201.17*1000</f>
        <v>-201170</v>
      </c>
      <c r="D124">
        <f>($B$16*D113+0.5*$C$16*D113^2+(1/3)*$D$16*D113^3+0.25*$E$16*D113^4+0.2*$F$16*D113^5)-($B$16*298.15+0.5*$C$16*298.15^2+(1/3)*$D$16*298.15^3+0.25*$E$16*298.15^4+0.2*$F$16*298.15^5)</f>
        <v>4058.2464201500097</v>
      </c>
      <c r="E124">
        <f t="shared" si="11"/>
        <v>-197111.75357985</v>
      </c>
      <c r="F124" s="23">
        <f>MB!T12</f>
        <v>0.04246594876759762</v>
      </c>
      <c r="G124" s="23">
        <f t="shared" si="12"/>
        <v>-8370.537629013237</v>
      </c>
      <c r="I124" t="s">
        <v>7</v>
      </c>
      <c r="K124">
        <f>-238.8*1000</f>
        <v>-238800</v>
      </c>
      <c r="L124" s="30">
        <f>MB!I63</f>
        <v>90.13955021324632</v>
      </c>
      <c r="M124">
        <f t="shared" si="13"/>
        <v>-238709.86044978676</v>
      </c>
      <c r="N124" s="31">
        <f>MB!R12</f>
        <v>0.7210004205987622</v>
      </c>
      <c r="O124" s="23">
        <f t="shared" si="14"/>
        <v>-172109.9097853681</v>
      </c>
    </row>
    <row r="125" spans="6:15" ht="12.75">
      <c r="F125">
        <f>SUM(F117:F124)</f>
        <v>0.9985959277620052</v>
      </c>
      <c r="G125">
        <f>SUM(G117:G124)</f>
        <v>-46876.02779895399</v>
      </c>
      <c r="N125" s="10">
        <f>SUM(N117:N124)</f>
        <v>1.0297975330507771</v>
      </c>
      <c r="O125">
        <f>SUM(O117:O124)</f>
        <v>-260402.46471861348</v>
      </c>
    </row>
    <row r="127" spans="1:9" ht="12.75">
      <c r="A127" s="36" t="s">
        <v>105</v>
      </c>
      <c r="I127" s="36" t="s">
        <v>165</v>
      </c>
    </row>
    <row r="128" spans="1:12" ht="12.75">
      <c r="A128" s="36" t="s">
        <v>91</v>
      </c>
      <c r="B128">
        <v>35</v>
      </c>
      <c r="C128" s="36" t="s">
        <v>32</v>
      </c>
      <c r="D128">
        <f>273.15+B128</f>
        <v>308.15</v>
      </c>
      <c r="I128" s="36" t="s">
        <v>91</v>
      </c>
      <c r="J128">
        <v>35</v>
      </c>
      <c r="K128" s="36" t="s">
        <v>32</v>
      </c>
      <c r="L128">
        <f>273.15+J128</f>
        <v>308.15</v>
      </c>
    </row>
    <row r="131" spans="3:15" ht="12.75">
      <c r="C131" s="22" t="s">
        <v>87</v>
      </c>
      <c r="D131" t="s">
        <v>88</v>
      </c>
      <c r="E131" t="s">
        <v>89</v>
      </c>
      <c r="F131" t="s">
        <v>86</v>
      </c>
      <c r="G131" t="s">
        <v>130</v>
      </c>
      <c r="K131" s="22" t="s">
        <v>87</v>
      </c>
      <c r="L131" t="s">
        <v>88</v>
      </c>
      <c r="M131" t="s">
        <v>89</v>
      </c>
      <c r="N131" t="s">
        <v>86</v>
      </c>
      <c r="O131" t="s">
        <v>130</v>
      </c>
    </row>
    <row r="132" spans="1:15" ht="12.75">
      <c r="A132" s="22" t="s">
        <v>0</v>
      </c>
      <c r="C132" s="22">
        <f>-393.51*1000</f>
        <v>-393510</v>
      </c>
      <c r="D132">
        <f>($B$9*D128+0.5*$C$9*D128^2+(1/3)*$D$9*D128^3+0.25*$E$9*D128^4+0.2*$F$9*D128^5)-($B$9*298.15+0.5*$C$9*298.15^2+(1/3)*$D$9*298.15^3+0.25*$E$9*298.15^4+0.2*$F$9*298.15^5)</f>
        <v>385.7638105265505</v>
      </c>
      <c r="E132">
        <f>C132+D132</f>
        <v>-393124.2361894734</v>
      </c>
      <c r="F132">
        <f>MB!Y5</f>
        <v>0.0631441544824841</v>
      </c>
      <c r="G132">
        <f>F132*E132</f>
        <v>-24823.497500756675</v>
      </c>
      <c r="I132" s="22" t="s">
        <v>0</v>
      </c>
      <c r="K132" s="22">
        <f>-393.51*1000</f>
        <v>-393510</v>
      </c>
      <c r="L132" s="30">
        <v>385.7638105265505</v>
      </c>
      <c r="M132" s="77">
        <f>K132+L132</f>
        <v>-393124.2361894734</v>
      </c>
      <c r="N132" s="10">
        <f>MB!W5</f>
        <v>0.012530092410677825</v>
      </c>
      <c r="O132">
        <f>N132*M132</f>
        <v>-4925.883008331238</v>
      </c>
    </row>
    <row r="133" spans="1:15" ht="12.75">
      <c r="A133" t="s">
        <v>1</v>
      </c>
      <c r="C133">
        <f>-110.54*1000</f>
        <v>-110540</v>
      </c>
      <c r="D133">
        <f>($B$10*D128+0.5*$C$10*D128^2+(1/3)*$D$10*D128^3+0.25*$E$10*D128^4+0.2*$F$10*D128^5)-($B$10*298.15+0.5*$C$10*298.15^2+(1/3)*$D$10*298.15^3+0.25*$E$10*298.15^4+0.2*$F$10*298.15^5)</f>
        <v>290.8955548042213</v>
      </c>
      <c r="E133">
        <f aca="true" t="shared" si="15" ref="E133:E139">C133+D133</f>
        <v>-110249.10444519579</v>
      </c>
      <c r="F133">
        <f>MB!Y6</f>
        <v>0.025979631302462818</v>
      </c>
      <c r="G133">
        <f aca="true" t="shared" si="16" ref="G133:G139">F133*E133</f>
        <v>-2864.231084912901</v>
      </c>
      <c r="I133" t="s">
        <v>1</v>
      </c>
      <c r="M133" s="77">
        <f aca="true" t="shared" si="17" ref="M133:M139">K133+L133</f>
        <v>0</v>
      </c>
      <c r="N133" s="10">
        <f>MB!W6</f>
        <v>0</v>
      </c>
      <c r="O133">
        <f aca="true" t="shared" si="18" ref="O133:O139">N133*M133</f>
        <v>0</v>
      </c>
    </row>
    <row r="134" spans="1:15" ht="12.75">
      <c r="A134" t="s">
        <v>2</v>
      </c>
      <c r="C134">
        <v>0</v>
      </c>
      <c r="D134">
        <f>($B$11*D128+0.5*$C$11*D128^2+(1/3)*$D$11*D128^3+0.25*$E$11*D128^4+0.2*$F$11*D128^5)-($B$11*298.15+0.5*$C$11*298.15^2+(1/3)*$D$11*298.15^3+0.25*$E$11*298.15^4+0.2*$F$11*298.15^5)</f>
        <v>287.87379592444995</v>
      </c>
      <c r="E134">
        <f t="shared" si="15"/>
        <v>287.87379592444995</v>
      </c>
      <c r="F134">
        <f>MB!Y7</f>
        <v>0.6899841906953162</v>
      </c>
      <c r="G134">
        <f t="shared" si="16"/>
        <v>198.62836810332024</v>
      </c>
      <c r="I134" t="s">
        <v>2</v>
      </c>
      <c r="M134" s="77">
        <f t="shared" si="17"/>
        <v>0</v>
      </c>
      <c r="N134" s="10">
        <f>MB!W7</f>
        <v>0</v>
      </c>
      <c r="O134">
        <f t="shared" si="18"/>
        <v>0</v>
      </c>
    </row>
    <row r="135" spans="1:15" ht="12.75">
      <c r="A135" t="s">
        <v>3</v>
      </c>
      <c r="C135">
        <f>-74.85*1000</f>
        <v>-74850</v>
      </c>
      <c r="D135">
        <f>($B$12*D128+0.5*$C$12*D128^2+(1/3)*$D$12*D128^3+0.25*$E$12*D128^4+0.2*$F$12*D128^5)-($B$12*298.15+0.5*$C$12*298.15^2+(1/3)*$D$12*298.15^3+0.25*$E$12*298.15^4+0.2*$F$12*298.15^5)</f>
        <v>365.28492034170085</v>
      </c>
      <c r="E135">
        <f t="shared" si="15"/>
        <v>-74484.7150796583</v>
      </c>
      <c r="F135">
        <f>MB!Y8</f>
        <v>0.18191107819272453</v>
      </c>
      <c r="G135">
        <f t="shared" si="16"/>
        <v>-13549.59482901853</v>
      </c>
      <c r="I135" t="s">
        <v>3</v>
      </c>
      <c r="M135" s="77">
        <f t="shared" si="17"/>
        <v>0</v>
      </c>
      <c r="N135" s="10">
        <f>MB!W8</f>
        <v>0</v>
      </c>
      <c r="O135">
        <f t="shared" si="18"/>
        <v>0</v>
      </c>
    </row>
    <row r="136" spans="1:15" ht="12.75">
      <c r="A136" t="s">
        <v>4</v>
      </c>
      <c r="C136">
        <v>0</v>
      </c>
      <c r="D136">
        <f>($B$13*D128+0.5*$C$13*D128^2+(1/3)*$D$13*D128^3+0.25*$E$13*D128^4+0.2*$F$13*D128^5)-($B$13*298.15+0.5*$C$13*298.15^2+(1/3)*$D$13*298.15^3+0.25*$E$13*298.15^4+0.2*$F$13*298.15^5)</f>
        <v>290.77108187013437</v>
      </c>
      <c r="E136">
        <f t="shared" si="15"/>
        <v>290.77108187013437</v>
      </c>
      <c r="F136">
        <f>MB!Y9</f>
        <v>0.025987296884674868</v>
      </c>
      <c r="G136">
        <f t="shared" si="16"/>
        <v>7.556354430037284</v>
      </c>
      <c r="I136" t="s">
        <v>4</v>
      </c>
      <c r="M136" s="77">
        <f t="shared" si="17"/>
        <v>0</v>
      </c>
      <c r="N136" s="10">
        <f>MB!W9</f>
        <v>0</v>
      </c>
      <c r="O136">
        <f t="shared" si="18"/>
        <v>0</v>
      </c>
    </row>
    <row r="137" spans="1:15" ht="12.75">
      <c r="A137" t="s">
        <v>5</v>
      </c>
      <c r="C137">
        <v>0</v>
      </c>
      <c r="D137">
        <f>($B$14*D128+0.5*$C$14*D128^2+(1/3)*$D$14*D128^3+0.25*$E$14*D128^4+0.2*$F$14*D128^5)-($B$14*298.15+0.5*$C$14*298.15^2+(1/3)*$D$14*298.15^3+0.25*$E$14*298.15^4+0.2*$F$14*298.15^5)</f>
        <v>207.85999999999967</v>
      </c>
      <c r="E137">
        <f t="shared" si="15"/>
        <v>207.85999999999967</v>
      </c>
      <c r="F137">
        <f>MB!Y10</f>
        <v>0.012993648442337434</v>
      </c>
      <c r="G137">
        <f t="shared" si="16"/>
        <v>2.700859765224255</v>
      </c>
      <c r="I137" t="s">
        <v>5</v>
      </c>
      <c r="M137" s="77">
        <f t="shared" si="17"/>
        <v>0</v>
      </c>
      <c r="N137" s="10">
        <f>MB!W10</f>
        <v>0</v>
      </c>
      <c r="O137">
        <f t="shared" si="18"/>
        <v>0</v>
      </c>
    </row>
    <row r="138" spans="1:15" ht="12.75">
      <c r="A138" t="s">
        <v>6</v>
      </c>
      <c r="C138">
        <f>-241.8*1000</f>
        <v>-241800</v>
      </c>
      <c r="D138">
        <f>($B$15*D128+0.5*$C$15*D128^2+(1/3)*$D$15*D128^3+0.25*$E$15*D128^4+0.2*$F$15*D128^5)-($B$15*298.15+0.5*$C$15*298.15^2+(1/3)*$D$15*298.15^3+0.25*$E$15*298.15^4+0.2*$F$15*298.15^5)</f>
        <v>336.63989651374504</v>
      </c>
      <c r="E138">
        <f t="shared" si="15"/>
        <v>-241463.36010348625</v>
      </c>
      <c r="F138">
        <f>MB!Y11</f>
        <v>0</v>
      </c>
      <c r="G138">
        <f t="shared" si="16"/>
        <v>0</v>
      </c>
      <c r="I138" t="s">
        <v>6</v>
      </c>
      <c r="K138">
        <f>-286*1000</f>
        <v>-286000</v>
      </c>
      <c r="L138" s="30">
        <f>MB!K64</f>
        <v>75.34829790758667</v>
      </c>
      <c r="M138" s="77">
        <f t="shared" si="17"/>
        <v>-285924.65170209244</v>
      </c>
      <c r="N138" s="10">
        <f>MB!W11</f>
        <v>0.2046632608722874</v>
      </c>
      <c r="O138">
        <f t="shared" si="18"/>
        <v>-58518.271581123256</v>
      </c>
    </row>
    <row r="139" spans="1:15" ht="12.75">
      <c r="A139" t="s">
        <v>7</v>
      </c>
      <c r="C139">
        <f>-201.17*1000</f>
        <v>-201170</v>
      </c>
      <c r="D139">
        <f>($B$16*D128+0.5*$C$16*D128^2+(1/3)*$D$16*D128^3+0.25*$E$16*D128^4+0.2*$F$16*D128^5)-($B$16*298.15+0.5*$C$16*298.15^2+(1/3)*$D$16*298.15^3+0.25*$E$16*298.15^4+0.2*$F$16*298.15^5)</f>
        <v>454.4841885151509</v>
      </c>
      <c r="E139">
        <f t="shared" si="15"/>
        <v>-200715.51581148486</v>
      </c>
      <c r="F139" s="23">
        <f>MB!Y12</f>
        <v>0</v>
      </c>
      <c r="G139" s="23">
        <f t="shared" si="16"/>
        <v>0</v>
      </c>
      <c r="I139" t="s">
        <v>7</v>
      </c>
      <c r="K139">
        <v>-238800</v>
      </c>
      <c r="L139" s="30">
        <f>MB!I64</f>
        <v>80.81554196725881</v>
      </c>
      <c r="M139" s="77">
        <f t="shared" si="17"/>
        <v>-238719.18445803275</v>
      </c>
      <c r="N139" s="31">
        <f>MB!W12</f>
        <v>0.7828066467170348</v>
      </c>
      <c r="O139" s="23">
        <f t="shared" si="18"/>
        <v>-186870.9642926179</v>
      </c>
    </row>
    <row r="140" spans="6:15" ht="12.75">
      <c r="F140">
        <f>SUM(F132:F139)</f>
        <v>1</v>
      </c>
      <c r="G140">
        <f>SUM(G132:G139)</f>
        <v>-41028.43783238953</v>
      </c>
      <c r="N140" s="10">
        <f>SUM(N132:N139)</f>
        <v>1</v>
      </c>
      <c r="O140">
        <f>SUM(O132:O139)</f>
        <v>-250315.1188820724</v>
      </c>
    </row>
    <row r="142" ht="12.75">
      <c r="A142" s="36" t="s">
        <v>104</v>
      </c>
    </row>
    <row r="143" spans="1:4" ht="12.75">
      <c r="A143" s="36" t="s">
        <v>91</v>
      </c>
      <c r="B143">
        <v>41</v>
      </c>
      <c r="C143" s="36" t="s">
        <v>32</v>
      </c>
      <c r="D143">
        <f>273.15+B143</f>
        <v>314.15</v>
      </c>
    </row>
    <row r="146" spans="3:7" ht="12.75">
      <c r="C146" s="22" t="s">
        <v>87</v>
      </c>
      <c r="D146" t="s">
        <v>88</v>
      </c>
      <c r="E146" t="s">
        <v>89</v>
      </c>
      <c r="F146" t="s">
        <v>86</v>
      </c>
      <c r="G146" t="s">
        <v>130</v>
      </c>
    </row>
    <row r="147" spans="1:7" ht="12.75">
      <c r="A147" s="22" t="s">
        <v>0</v>
      </c>
      <c r="C147" s="22">
        <f>-393.51*1000</f>
        <v>-393510</v>
      </c>
      <c r="D147">
        <f>($B$9*D143+0.5*$C$9*D143^2+(1/3)*$D$9*D143^3+0.25*$E$9*D143^4+0.2*$F$9*D143^5)-($B$9*298.15+0.5*$C$9*298.15^2+(1/3)*$D$9*298.15^3+0.25*$E$9*298.15^4+0.2*$F$9*298.15^5)</f>
        <v>618.729764428288</v>
      </c>
      <c r="E147">
        <f>C147+D147</f>
        <v>-392891.2702355717</v>
      </c>
      <c r="F147">
        <f>MB!AF5</f>
        <v>0.0631441544824841</v>
      </c>
      <c r="G147">
        <f>E147*F147</f>
        <v>-24808.78706257435</v>
      </c>
    </row>
    <row r="148" spans="1:7" ht="12.75">
      <c r="A148" t="s">
        <v>1</v>
      </c>
      <c r="C148">
        <f>-110.54*1000</f>
        <v>-110540</v>
      </c>
      <c r="D148">
        <f>($B$10*D143+0.5*$C$10*D143^2+(1/3)*$D$10*D143^3+0.25*$E$10*D143^4+0.2*$F$10*D143^5)-($B$10*298.15+0.5*$C$10*298.15^2+(1/3)*$D$10*298.15^3+0.25*$E$10*298.15^4+0.2*$F$10*298.15^5)</f>
        <v>465.55671356887797</v>
      </c>
      <c r="E148">
        <f aca="true" t="shared" si="19" ref="E148:E154">C148+D148</f>
        <v>-110074.44328643112</v>
      </c>
      <c r="F148">
        <f>MB!AF6</f>
        <v>0.025979631302462818</v>
      </c>
      <c r="G148">
        <f aca="true" t="shared" si="20" ref="G148:G154">E148*F148</f>
        <v>-2859.693452405334</v>
      </c>
    </row>
    <row r="149" spans="1:7" ht="12.75">
      <c r="A149" t="s">
        <v>2</v>
      </c>
      <c r="C149">
        <v>0</v>
      </c>
      <c r="D149">
        <f>($B$11*D143+0.5*$C$11*D143^2+(1/3)*$D$11*D143^3+0.25*$E$11*D143^4+0.2*$F$11*D143^5)-($B$11*298.15+0.5*$C$11*298.15^2+(1/3)*$D$11*298.15^3+0.25*$E$11*298.15^4+0.2*$F$11*298.15^5)</f>
        <v>460.81479715606474</v>
      </c>
      <c r="E149">
        <f t="shared" si="19"/>
        <v>460.81479715606474</v>
      </c>
      <c r="F149">
        <f>MB!AF7</f>
        <v>0.6899841906953161</v>
      </c>
      <c r="G149">
        <f t="shared" si="20"/>
        <v>317.9549248761536</v>
      </c>
    </row>
    <row r="150" spans="1:7" ht="12.75">
      <c r="A150" t="s">
        <v>3</v>
      </c>
      <c r="C150">
        <f>-74.85*1000</f>
        <v>-74850</v>
      </c>
      <c r="D150">
        <f>($B$12*D143+0.5*$C$12*D143^2+(1/3)*$D$12*D143^3+0.25*$E$12*D143^4+0.2*$F$12*D143^5)-($B$12*298.15+0.5*$C$12*298.15^2+(1/3)*$D$12*298.15^3+0.25*$E$12*298.15^4+0.2*$F$12*298.15^5)</f>
        <v>586.3319362665134</v>
      </c>
      <c r="E150">
        <f t="shared" si="19"/>
        <v>-74263.6680637335</v>
      </c>
      <c r="F150">
        <f>MB!AF8</f>
        <v>0.18191107819272453</v>
      </c>
      <c r="G150">
        <f t="shared" si="20"/>
        <v>-13509.383928020363</v>
      </c>
    </row>
    <row r="151" spans="1:7" ht="12.75">
      <c r="A151" t="s">
        <v>4</v>
      </c>
      <c r="C151">
        <v>0</v>
      </c>
      <c r="D151">
        <f>($B$13*D143+0.5*$C$13*D143^2+(1/3)*$D$13*D143^3+0.25*$E$13*D143^4+0.2*$F$13*D143^5)-($B$13*298.15+0.5*$C$13*298.15^2+(1/3)*$D$13*298.15^3+0.25*$E$13*298.15^4+0.2*$F$13*298.15^5)</f>
        <v>465.30360293548256</v>
      </c>
      <c r="E151">
        <f t="shared" si="19"/>
        <v>465.30360293548256</v>
      </c>
      <c r="F151">
        <f>MB!AF9</f>
        <v>0.025987296884674868</v>
      </c>
      <c r="G151">
        <f t="shared" si="20"/>
        <v>12.091982870993258</v>
      </c>
    </row>
    <row r="152" spans="1:7" ht="12.75">
      <c r="A152" t="s">
        <v>5</v>
      </c>
      <c r="C152">
        <v>0</v>
      </c>
      <c r="D152">
        <f>($B$14*D143+0.5*$C$14*D143^2+(1/3)*$D$14*D143^3+0.25*$E$14*D143^4+0.2*$F$14*D143^5)-($B$14*298.15+0.5*$C$14*298.15^2+(1/3)*$D$14*298.15^3+0.25*$E$14*298.15^4+0.2*$F$14*298.15^5)</f>
        <v>332.576</v>
      </c>
      <c r="E152">
        <f t="shared" si="19"/>
        <v>332.576</v>
      </c>
      <c r="F152">
        <f>MB!AF10</f>
        <v>0.012993648442337434</v>
      </c>
      <c r="G152">
        <f t="shared" si="20"/>
        <v>4.321375624358815</v>
      </c>
    </row>
    <row r="153" spans="1:7" ht="12.75">
      <c r="A153" t="s">
        <v>6</v>
      </c>
      <c r="C153">
        <f>-241.8*1000</f>
        <v>-241800</v>
      </c>
      <c r="D153">
        <f>($B$15*D143+0.5*$C$15*D143^2+(1/3)*$D$15*D143^3+0.25*$E$15*D143^4+0.2*$F$15*D143^5)-($B$15*298.15+0.5*$C$15*298.15^2+(1/3)*$D$15*298.15^3+0.25*$E$15*298.15^4+0.2*$F$15*298.15^5)</f>
        <v>538.8794362020853</v>
      </c>
      <c r="E153">
        <f t="shared" si="19"/>
        <v>-241261.12056379791</v>
      </c>
      <c r="F153">
        <f>MB!AF11</f>
        <v>0</v>
      </c>
      <c r="G153">
        <f t="shared" si="20"/>
        <v>0</v>
      </c>
    </row>
    <row r="154" spans="1:7" ht="12.75">
      <c r="A154" t="s">
        <v>7</v>
      </c>
      <c r="C154">
        <f>-201.17*1000</f>
        <v>-201170</v>
      </c>
      <c r="D154">
        <f>($B$16*D143+0.5*$C$16*D143^2+(1/3)*$D$16*D143^3+0.25*$E$16*D143^4+0.2*$F$16*D143^5)-($B$16*298.15+0.5*$C$16*298.15^2+(1/3)*$D$16*298.15^3+0.25*$E$16*298.15^4+0.2*$F$16*298.15^5)</f>
        <v>729.9550643706662</v>
      </c>
      <c r="E154">
        <f t="shared" si="19"/>
        <v>-200440.04493562932</v>
      </c>
      <c r="F154" s="23">
        <f>MB!AF12</f>
        <v>0</v>
      </c>
      <c r="G154" s="23">
        <f t="shared" si="20"/>
        <v>0</v>
      </c>
    </row>
    <row r="155" spans="6:7" ht="12.75">
      <c r="F155">
        <f>SUM(F147:F154)</f>
        <v>0.9999999999999999</v>
      </c>
      <c r="G155">
        <f>SUM(G147:G154)</f>
        <v>-40843.496159628536</v>
      </c>
    </row>
    <row r="157" ht="12.75">
      <c r="A157" s="36"/>
    </row>
    <row r="158" spans="1:3" ht="12.75">
      <c r="A158" s="36"/>
      <c r="C158" s="36"/>
    </row>
    <row r="161" ht="12.75">
      <c r="C161" s="22"/>
    </row>
    <row r="162" ht="12.75">
      <c r="A162" s="22"/>
    </row>
  </sheetData>
  <printOptions/>
  <pageMargins left="0.75" right="0.75" top="1" bottom="1" header="0.5" footer="0.5"/>
  <pageSetup horizontalDpi="300" verticalDpi="300" orientation="portrait" paperSize="9" scale="49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63"/>
  <sheetViews>
    <sheetView view="pageBreakPreview" zoomScale="60" zoomScaleNormal="85" workbookViewId="0" topLeftCell="A16">
      <selection activeCell="B63" sqref="B63"/>
    </sheetView>
  </sheetViews>
  <sheetFormatPr defaultColWidth="9.140625" defaultRowHeight="12.75"/>
  <cols>
    <col min="2" max="2" width="13.140625" style="0" customWidth="1"/>
    <col min="10" max="10" width="12.00390625" style="0" customWidth="1"/>
  </cols>
  <sheetData>
    <row r="3" spans="1:9" ht="12.75">
      <c r="A3" s="36" t="s">
        <v>110</v>
      </c>
      <c r="I3" s="36" t="s">
        <v>111</v>
      </c>
    </row>
    <row r="5" spans="3:13" ht="12.75">
      <c r="C5" t="s">
        <v>11</v>
      </c>
      <c r="D5" t="s">
        <v>112</v>
      </c>
      <c r="E5" t="s">
        <v>113</v>
      </c>
      <c r="K5" t="s">
        <v>11</v>
      </c>
      <c r="L5" t="s">
        <v>112</v>
      </c>
      <c r="M5" t="s">
        <v>113</v>
      </c>
    </row>
    <row r="6" spans="2:13" ht="12.75">
      <c r="B6" t="s">
        <v>0</v>
      </c>
      <c r="C6" s="52">
        <f>8.2/100</f>
        <v>0.08199999999999999</v>
      </c>
      <c r="D6">
        <f aca="true" t="shared" si="0" ref="D6:D13">C6*$D$14</f>
        <v>983.9999999999999</v>
      </c>
      <c r="E6">
        <v>44.01</v>
      </c>
      <c r="J6" t="s">
        <v>0</v>
      </c>
      <c r="K6" s="53">
        <v>0.10724507255408294</v>
      </c>
      <c r="L6">
        <f>K6*$L$14</f>
        <v>4128.720803187085</v>
      </c>
      <c r="M6">
        <v>44.01</v>
      </c>
    </row>
    <row r="7" spans="2:13" ht="12.75">
      <c r="B7" t="s">
        <v>1</v>
      </c>
      <c r="C7" s="52">
        <f>21.2/100</f>
        <v>0.212</v>
      </c>
      <c r="D7">
        <f t="shared" si="0"/>
        <v>2544</v>
      </c>
      <c r="E7">
        <v>28.01</v>
      </c>
      <c r="J7" t="s">
        <v>1</v>
      </c>
      <c r="K7" s="53">
        <v>0.03945612721022265</v>
      </c>
      <c r="L7">
        <f aca="true" t="shared" si="1" ref="L7:L13">K7*$L$14</f>
        <v>1518.9819853391516</v>
      </c>
      <c r="M7">
        <v>28.01</v>
      </c>
    </row>
    <row r="8" spans="2:13" ht="12.75">
      <c r="B8" t="s">
        <v>2</v>
      </c>
      <c r="C8" s="52">
        <f>68.8/100</f>
        <v>0.688</v>
      </c>
      <c r="D8">
        <f t="shared" si="0"/>
        <v>8256</v>
      </c>
      <c r="E8">
        <v>2.02</v>
      </c>
      <c r="J8" t="s">
        <v>2</v>
      </c>
      <c r="K8" s="53">
        <v>0.633439583484225</v>
      </c>
      <c r="L8">
        <f t="shared" si="1"/>
        <v>24386.157084975694</v>
      </c>
      <c r="M8">
        <v>2.02</v>
      </c>
    </row>
    <row r="9" spans="2:13" ht="12.75">
      <c r="B9" t="s">
        <v>3</v>
      </c>
      <c r="C9" s="52">
        <f>1.4/100</f>
        <v>0.013999999999999999</v>
      </c>
      <c r="D9">
        <f t="shared" si="0"/>
        <v>167.99999999999997</v>
      </c>
      <c r="E9">
        <v>16.05</v>
      </c>
      <c r="J9" t="s">
        <v>3</v>
      </c>
      <c r="K9" s="53">
        <v>0.18106053144238665</v>
      </c>
      <c r="L9">
        <f t="shared" si="1"/>
        <v>6970.468339469001</v>
      </c>
      <c r="M9">
        <v>16.05</v>
      </c>
    </row>
    <row r="10" spans="2:13" ht="12.75">
      <c r="B10" t="s">
        <v>4</v>
      </c>
      <c r="C10" s="52">
        <f>0.2/100</f>
        <v>0.002</v>
      </c>
      <c r="D10">
        <f t="shared" si="0"/>
        <v>24</v>
      </c>
      <c r="E10">
        <v>28.02</v>
      </c>
      <c r="J10" t="s">
        <v>4</v>
      </c>
      <c r="K10" s="53">
        <v>0.025865790206055173</v>
      </c>
      <c r="L10">
        <f t="shared" si="1"/>
        <v>995.7811913527121</v>
      </c>
      <c r="M10">
        <v>28.02</v>
      </c>
    </row>
    <row r="11" spans="2:13" ht="12.75">
      <c r="B11" t="s">
        <v>5</v>
      </c>
      <c r="C11" s="52">
        <f>0.1/100</f>
        <v>0.001</v>
      </c>
      <c r="D11">
        <f t="shared" si="0"/>
        <v>12</v>
      </c>
      <c r="E11">
        <v>39.95</v>
      </c>
      <c r="J11" t="s">
        <v>5</v>
      </c>
      <c r="K11" s="53">
        <v>0.012932895103027586</v>
      </c>
      <c r="L11">
        <f t="shared" si="1"/>
        <v>497.89059567635604</v>
      </c>
      <c r="M11">
        <v>39.95</v>
      </c>
    </row>
    <row r="12" spans="2:13" ht="12.75">
      <c r="B12" t="s">
        <v>6</v>
      </c>
      <c r="C12" s="52">
        <f>0.1/100</f>
        <v>0.001</v>
      </c>
      <c r="D12">
        <f t="shared" si="0"/>
        <v>12</v>
      </c>
      <c r="E12">
        <v>18.02</v>
      </c>
      <c r="J12" t="s">
        <v>6</v>
      </c>
      <c r="K12" s="53">
        <v>0</v>
      </c>
      <c r="L12">
        <f t="shared" si="1"/>
        <v>0</v>
      </c>
      <c r="M12">
        <v>18.02</v>
      </c>
    </row>
    <row r="13" spans="2:13" ht="13.5" thickBot="1">
      <c r="B13" t="s">
        <v>7</v>
      </c>
      <c r="C13" s="54">
        <f>0/100</f>
        <v>0</v>
      </c>
      <c r="D13" s="55">
        <f t="shared" si="0"/>
        <v>0</v>
      </c>
      <c r="E13" s="55">
        <v>31.04</v>
      </c>
      <c r="J13" t="s">
        <v>7</v>
      </c>
      <c r="K13" s="54">
        <v>0</v>
      </c>
      <c r="L13" s="55">
        <f t="shared" si="1"/>
        <v>0</v>
      </c>
      <c r="M13" s="55">
        <v>31.04</v>
      </c>
    </row>
    <row r="14" spans="3:13" ht="12.75">
      <c r="C14" s="24">
        <f>SUM(C6:C13)</f>
        <v>1</v>
      </c>
      <c r="D14" s="56">
        <v>12000</v>
      </c>
      <c r="E14">
        <f>C6*E6+C7*E7+C8*E8+C9*E9+C10*E10+C11*E11+C12*E12+C13*E13</f>
        <v>11.275409999999997</v>
      </c>
      <c r="K14" s="24">
        <f>SUM(K6:K13)</f>
        <v>1</v>
      </c>
      <c r="L14" s="57">
        <v>38498</v>
      </c>
      <c r="M14">
        <f>K6*M6+K7*M7+K8*M8+K9*M9+K10*M10+K11*M11+K12*M12+K13*M13</f>
        <v>11.252019855491586</v>
      </c>
    </row>
    <row r="16" spans="1:14" ht="12.75">
      <c r="A16" s="36" t="s">
        <v>114</v>
      </c>
      <c r="B16" t="s">
        <v>115</v>
      </c>
      <c r="C16" s="56">
        <v>32</v>
      </c>
      <c r="D16" t="s">
        <v>116</v>
      </c>
      <c r="E16">
        <f>(C16+1.013)*10^5</f>
        <v>3301300</v>
      </c>
      <c r="F16" t="s">
        <v>117</v>
      </c>
      <c r="I16" s="36" t="s">
        <v>114</v>
      </c>
      <c r="J16" t="s">
        <v>115</v>
      </c>
      <c r="K16" s="56">
        <v>79</v>
      </c>
      <c r="L16" t="s">
        <v>116</v>
      </c>
      <c r="M16">
        <f>(K16+1.013)*10^5</f>
        <v>8001300.000000001</v>
      </c>
      <c r="N16" t="s">
        <v>117</v>
      </c>
    </row>
    <row r="17" spans="2:14" ht="12.75">
      <c r="B17" t="s">
        <v>91</v>
      </c>
      <c r="C17" s="56">
        <v>30</v>
      </c>
      <c r="D17" t="s">
        <v>32</v>
      </c>
      <c r="E17">
        <f>273.15+C17</f>
        <v>303.15</v>
      </c>
      <c r="F17" t="s">
        <v>82</v>
      </c>
      <c r="J17" t="s">
        <v>91</v>
      </c>
      <c r="K17" s="56">
        <v>35</v>
      </c>
      <c r="L17" t="s">
        <v>32</v>
      </c>
      <c r="M17">
        <f>273.15+K17</f>
        <v>308.15</v>
      </c>
      <c r="N17" t="s">
        <v>82</v>
      </c>
    </row>
    <row r="18" ht="12.75">
      <c r="C18" s="32"/>
    </row>
    <row r="19" spans="3:11" ht="12.75">
      <c r="C19" s="32" t="s">
        <v>118</v>
      </c>
      <c r="K19" s="32" t="s">
        <v>118</v>
      </c>
    </row>
    <row r="20" spans="2:11" ht="12.75">
      <c r="B20" t="s">
        <v>0</v>
      </c>
      <c r="C20" s="32">
        <f>($E$16*C6*E6)/(8.314*$E$17*1000)</f>
        <v>4.72696754084518</v>
      </c>
      <c r="J20" t="s">
        <v>0</v>
      </c>
      <c r="K20" s="32">
        <f>($M$16*K6*M6)/(8.314*$M$17*1000)</f>
        <v>14.740665046985942</v>
      </c>
    </row>
    <row r="21" spans="2:11" ht="12.75">
      <c r="B21" t="s">
        <v>1</v>
      </c>
      <c r="C21" s="32">
        <f aca="true" t="shared" si="2" ref="C21:C27">($E$16*C7*E7)/(8.314*$E$17*1000)</f>
        <v>7.777971883785722</v>
      </c>
      <c r="J21" t="s">
        <v>1</v>
      </c>
      <c r="K21" s="32">
        <f aca="true" t="shared" si="3" ref="K21:K27">($M$16*K7*M7)/(8.314*$M$17*1000)</f>
        <v>3.451563961823902</v>
      </c>
    </row>
    <row r="22" spans="2:11" ht="12.75">
      <c r="B22" t="s">
        <v>2</v>
      </c>
      <c r="C22" s="32">
        <f t="shared" si="2"/>
        <v>1.8203596770038404</v>
      </c>
      <c r="J22" t="s">
        <v>2</v>
      </c>
      <c r="K22" s="32">
        <f t="shared" si="3"/>
        <v>3.996178971573475</v>
      </c>
    </row>
    <row r="23" spans="2:11" ht="12.75">
      <c r="B23" t="s">
        <v>3</v>
      </c>
      <c r="C23" s="32">
        <f t="shared" si="2"/>
        <v>0.29432047218423535</v>
      </c>
      <c r="J23" t="s">
        <v>3</v>
      </c>
      <c r="K23" s="32">
        <f t="shared" si="3"/>
        <v>9.07584748920894</v>
      </c>
    </row>
    <row r="24" spans="2:11" ht="12.75">
      <c r="B24" t="s">
        <v>4</v>
      </c>
      <c r="C24" s="32">
        <f t="shared" si="2"/>
        <v>0.07340328999200957</v>
      </c>
      <c r="J24" t="s">
        <v>4</v>
      </c>
      <c r="K24" s="32">
        <f t="shared" si="3"/>
        <v>2.2635090934368836</v>
      </c>
    </row>
    <row r="25" spans="2:11" ht="12.75">
      <c r="B25" t="s">
        <v>5</v>
      </c>
      <c r="C25" s="32">
        <f t="shared" si="2"/>
        <v>0.05232800562421097</v>
      </c>
      <c r="J25" t="s">
        <v>5</v>
      </c>
      <c r="K25" s="32">
        <f t="shared" si="3"/>
        <v>1.6136186345967791</v>
      </c>
    </row>
    <row r="26" spans="2:11" ht="12.75">
      <c r="B26" t="s">
        <v>6</v>
      </c>
      <c r="C26" s="32">
        <f t="shared" si="2"/>
        <v>0.02360327062198452</v>
      </c>
      <c r="J26" t="s">
        <v>6</v>
      </c>
      <c r="K26" s="32">
        <f t="shared" si="3"/>
        <v>0</v>
      </c>
    </row>
    <row r="27" spans="2:11" ht="13.5" thickBot="1">
      <c r="B27" t="s">
        <v>7</v>
      </c>
      <c r="C27" s="58">
        <f t="shared" si="2"/>
        <v>0</v>
      </c>
      <c r="J27" t="s">
        <v>7</v>
      </c>
      <c r="K27" s="58">
        <f t="shared" si="3"/>
        <v>0</v>
      </c>
    </row>
    <row r="28" spans="3:12" ht="12.75">
      <c r="C28">
        <f>SUM(C20:C27)</f>
        <v>14.768954140057183</v>
      </c>
      <c r="D28" t="s">
        <v>119</v>
      </c>
      <c r="K28">
        <f>SUM(K20:K27)</f>
        <v>35.14138319762591</v>
      </c>
      <c r="L28" t="s">
        <v>119</v>
      </c>
    </row>
    <row r="31" spans="1:14" ht="12.75">
      <c r="A31" s="36" t="s">
        <v>120</v>
      </c>
      <c r="B31" t="s">
        <v>115</v>
      </c>
      <c r="C31" s="56">
        <v>85</v>
      </c>
      <c r="D31" t="s">
        <v>116</v>
      </c>
      <c r="E31">
        <f>(C31+1.013)*10^5</f>
        <v>8601300</v>
      </c>
      <c r="F31" t="s">
        <v>117</v>
      </c>
      <c r="I31" s="36" t="s">
        <v>120</v>
      </c>
      <c r="J31" t="s">
        <v>115</v>
      </c>
      <c r="K31" s="56">
        <v>83.3</v>
      </c>
      <c r="L31" t="s">
        <v>116</v>
      </c>
      <c r="M31">
        <f>(K31+1.013)*10^5</f>
        <v>8431300</v>
      </c>
      <c r="N31" t="s">
        <v>117</v>
      </c>
    </row>
    <row r="32" spans="2:14" ht="12.75">
      <c r="B32" t="s">
        <v>91</v>
      </c>
      <c r="C32" s="56">
        <v>153</v>
      </c>
      <c r="D32" t="s">
        <v>32</v>
      </c>
      <c r="E32">
        <f>273.15+C32</f>
        <v>426.15</v>
      </c>
      <c r="F32" t="s">
        <v>82</v>
      </c>
      <c r="J32" t="s">
        <v>91</v>
      </c>
      <c r="K32" s="56">
        <v>41</v>
      </c>
      <c r="L32" t="s">
        <v>32</v>
      </c>
      <c r="M32">
        <f>273.15+K32</f>
        <v>314.15</v>
      </c>
      <c r="N32" t="s">
        <v>82</v>
      </c>
    </row>
    <row r="34" spans="3:11" ht="12.75">
      <c r="C34" s="32" t="s">
        <v>118</v>
      </c>
      <c r="K34" s="32" t="s">
        <v>118</v>
      </c>
    </row>
    <row r="35" spans="2:12" ht="12.75">
      <c r="B35" t="s">
        <v>0</v>
      </c>
      <c r="C35" s="32">
        <f>($E$31*C6*E6)/(8.314*$E$32*1000)</f>
        <v>8.761063002596858</v>
      </c>
      <c r="D35" s="32"/>
      <c r="E35" s="32"/>
      <c r="F35" s="32"/>
      <c r="J35" t="s">
        <v>0</v>
      </c>
      <c r="K35" s="32">
        <f>($M$31*K6*M6)/(8.314*$M$32*1000)</f>
        <v>15.236182787439564</v>
      </c>
      <c r="L35" s="32"/>
    </row>
    <row r="36" spans="2:12" ht="12.75">
      <c r="B36" t="s">
        <v>1</v>
      </c>
      <c r="C36" s="32">
        <f aca="true" t="shared" si="4" ref="C36:C42">($E$31*C7*E7)/(8.314*$E$32*1000)</f>
        <v>14.415859875798867</v>
      </c>
      <c r="D36" s="32"/>
      <c r="E36" s="32"/>
      <c r="F36" s="32"/>
      <c r="J36" t="s">
        <v>1</v>
      </c>
      <c r="K36" s="32">
        <f aca="true" t="shared" si="5" ref="K36:K42">($M$31*K7*M7)/(8.314*$M$32*1000)</f>
        <v>3.567590692635742</v>
      </c>
      <c r="L36" s="32"/>
    </row>
    <row r="37" spans="2:12" ht="12.75">
      <c r="B37" t="s">
        <v>2</v>
      </c>
      <c r="C37" s="32">
        <f t="shared" si="4"/>
        <v>3.373893660113004</v>
      </c>
      <c r="D37" s="32"/>
      <c r="E37" s="32"/>
      <c r="F37" s="32"/>
      <c r="J37" t="s">
        <v>2</v>
      </c>
      <c r="K37" s="32">
        <f t="shared" si="5"/>
        <v>4.130513315928397</v>
      </c>
      <c r="L37" s="32"/>
    </row>
    <row r="38" spans="2:12" ht="12.75">
      <c r="B38" t="s">
        <v>3</v>
      </c>
      <c r="C38" s="32">
        <f t="shared" si="4"/>
        <v>0.545499874386507</v>
      </c>
      <c r="D38" s="32"/>
      <c r="E38" s="32"/>
      <c r="F38" s="32"/>
      <c r="J38" t="s">
        <v>3</v>
      </c>
      <c r="K38" s="32">
        <f t="shared" si="5"/>
        <v>9.380938434985097</v>
      </c>
      <c r="L38" s="32"/>
    </row>
    <row r="39" spans="2:12" ht="12.75">
      <c r="B39" t="s">
        <v>4</v>
      </c>
      <c r="C39" s="32">
        <f t="shared" si="4"/>
        <v>0.13604723168945196</v>
      </c>
      <c r="D39" s="32"/>
      <c r="E39" s="32"/>
      <c r="F39" s="32"/>
      <c r="J39" t="s">
        <v>4</v>
      </c>
      <c r="K39" s="32">
        <f t="shared" si="5"/>
        <v>2.3395985309148353</v>
      </c>
      <c r="L39" s="32"/>
    </row>
    <row r="40" spans="2:12" ht="12.75">
      <c r="B40" t="s">
        <v>5</v>
      </c>
      <c r="C40" s="32">
        <f t="shared" si="4"/>
        <v>0.0969858477158031</v>
      </c>
      <c r="D40" s="32"/>
      <c r="E40" s="32"/>
      <c r="F40" s="32"/>
      <c r="J40" t="s">
        <v>5</v>
      </c>
      <c r="K40" s="32">
        <f t="shared" si="5"/>
        <v>1.6678615508573817</v>
      </c>
      <c r="L40" s="32"/>
    </row>
    <row r="41" spans="2:12" ht="12.75">
      <c r="B41" t="s">
        <v>6</v>
      </c>
      <c r="C41" s="32">
        <f t="shared" si="4"/>
        <v>0.04374680790585161</v>
      </c>
      <c r="D41" s="32"/>
      <c r="E41" s="32"/>
      <c r="F41" s="32"/>
      <c r="J41" t="s">
        <v>6</v>
      </c>
      <c r="K41" s="32">
        <f t="shared" si="5"/>
        <v>0</v>
      </c>
      <c r="L41" s="32"/>
    </row>
    <row r="42" spans="2:12" ht="13.5" thickBot="1">
      <c r="B42" t="s">
        <v>7</v>
      </c>
      <c r="C42" s="58">
        <f t="shared" si="4"/>
        <v>0</v>
      </c>
      <c r="D42" s="32"/>
      <c r="E42" s="32"/>
      <c r="F42" s="32"/>
      <c r="J42" t="s">
        <v>7</v>
      </c>
      <c r="K42" s="58">
        <f t="shared" si="5"/>
        <v>0</v>
      </c>
      <c r="L42" s="32"/>
    </row>
    <row r="43" spans="3:12" ht="12.75">
      <c r="C43">
        <f>SUM(C35:C42)</f>
        <v>27.373096300206345</v>
      </c>
      <c r="D43" s="32" t="s">
        <v>119</v>
      </c>
      <c r="E43" s="32"/>
      <c r="F43" s="32"/>
      <c r="K43">
        <f>SUM(K35:K42)</f>
        <v>36.32268531276102</v>
      </c>
      <c r="L43" s="32" t="s">
        <v>119</v>
      </c>
    </row>
    <row r="44" spans="2:6" ht="12.75">
      <c r="B44" s="32"/>
      <c r="C44" s="8"/>
      <c r="D44" s="32"/>
      <c r="E44" s="32"/>
      <c r="F44" s="32"/>
    </row>
    <row r="45" spans="1:9" ht="12.75">
      <c r="A45" t="s">
        <v>121</v>
      </c>
      <c r="B45" s="32"/>
      <c r="C45" s="8"/>
      <c r="D45" s="32"/>
      <c r="E45" s="32"/>
      <c r="F45" s="32"/>
      <c r="I45" t="s">
        <v>121</v>
      </c>
    </row>
    <row r="47" spans="1:10" ht="12.75">
      <c r="A47" t="s">
        <v>122</v>
      </c>
      <c r="B47">
        <f>(LN(E31/E16))/(LN(C43/C28))</f>
        <v>1.551937199173686</v>
      </c>
      <c r="I47" t="s">
        <v>122</v>
      </c>
      <c r="J47">
        <f>(LN(M31/M16))/(LN(K43/K28))</f>
        <v>1.5832464482900874</v>
      </c>
    </row>
    <row r="50" spans="1:9" ht="12.75">
      <c r="A50" t="s">
        <v>123</v>
      </c>
      <c r="I50" t="s">
        <v>123</v>
      </c>
    </row>
    <row r="52" spans="1:10" ht="12.75">
      <c r="A52" s="5" t="s">
        <v>124</v>
      </c>
      <c r="B52">
        <v>0.75</v>
      </c>
      <c r="I52" s="5" t="s">
        <v>124</v>
      </c>
      <c r="J52">
        <v>0.75</v>
      </c>
    </row>
    <row r="55" spans="1:9" ht="12.75">
      <c r="A55" t="s">
        <v>125</v>
      </c>
      <c r="I55" t="s">
        <v>125</v>
      </c>
    </row>
    <row r="57" spans="1:11" ht="12.75">
      <c r="A57" t="s">
        <v>126</v>
      </c>
      <c r="B57">
        <f>((E16*B47)/((B47-1)*C28))*((E31/E16)^(1-(1/B47))-1)</f>
        <v>255015.9043265275</v>
      </c>
      <c r="C57" t="s">
        <v>127</v>
      </c>
      <c r="I57" t="s">
        <v>126</v>
      </c>
      <c r="J57">
        <f>((M16*J47)/((J47-1)*K28))*((M31/M16)^(1-(1/J47))-1)</f>
        <v>12034.476420311228</v>
      </c>
      <c r="K57" t="s">
        <v>127</v>
      </c>
    </row>
    <row r="58" spans="2:11" ht="12.75">
      <c r="B58">
        <f>B57*(E14/1000)</f>
        <v>2875.4088778023706</v>
      </c>
      <c r="C58" t="s">
        <v>128</v>
      </c>
      <c r="J58">
        <f>J57*(M14/1000)</f>
        <v>135.41216763178724</v>
      </c>
      <c r="K58" t="s">
        <v>128</v>
      </c>
    </row>
    <row r="60" spans="2:10" ht="12.75">
      <c r="B60" s="22"/>
      <c r="J60" s="22"/>
    </row>
    <row r="61" spans="1:9" ht="12.75">
      <c r="A61" t="s">
        <v>129</v>
      </c>
      <c r="I61" t="s">
        <v>129</v>
      </c>
    </row>
    <row r="63" spans="2:11" ht="12.75">
      <c r="B63" s="59">
        <f>B58*D14*1000/(3600*B52)</f>
        <v>12779595.012454981</v>
      </c>
      <c r="C63" t="s">
        <v>80</v>
      </c>
      <c r="J63" s="59">
        <f>J58*L14*1000/(3600*J52)</f>
        <v>1930776.8998105724</v>
      </c>
      <c r="K63" t="s">
        <v>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1"/>
  <sheetViews>
    <sheetView zoomScale="85" zoomScaleNormal="85" workbookViewId="0" topLeftCell="A1">
      <selection activeCell="D17" sqref="D17"/>
    </sheetView>
  </sheetViews>
  <sheetFormatPr defaultColWidth="9.140625" defaultRowHeight="12.75"/>
  <cols>
    <col min="3" max="3" width="10.28125" style="0" customWidth="1"/>
    <col min="7" max="8" width="12.421875" style="0" bestFit="1" customWidth="1"/>
  </cols>
  <sheetData>
    <row r="3" spans="3:6" ht="12.75">
      <c r="C3" t="s">
        <v>91</v>
      </c>
      <c r="E3">
        <v>255</v>
      </c>
      <c r="F3" t="s">
        <v>32</v>
      </c>
    </row>
    <row r="4" spans="3:6" ht="12.75">
      <c r="C4" t="s">
        <v>115</v>
      </c>
      <c r="E4">
        <v>82</v>
      </c>
      <c r="F4" t="s">
        <v>136</v>
      </c>
    </row>
    <row r="9" ht="12.75">
      <c r="F9" t="s">
        <v>132</v>
      </c>
    </row>
    <row r="10" spans="3:7" ht="12.75">
      <c r="C10" t="s">
        <v>131</v>
      </c>
      <c r="F10" t="s">
        <v>82</v>
      </c>
      <c r="G10" s="35">
        <v>0.001754</v>
      </c>
    </row>
    <row r="11" spans="6:8" ht="12.75">
      <c r="F11" t="s">
        <v>79</v>
      </c>
      <c r="G11" s="35">
        <f>D20/(D14*D15^2)</f>
        <v>0.0011774086444925167</v>
      </c>
      <c r="H11" s="35"/>
    </row>
    <row r="12" ht="12.75">
      <c r="C12" t="s">
        <v>86</v>
      </c>
    </row>
    <row r="13" spans="2:4" ht="12.75">
      <c r="B13" t="s">
        <v>0</v>
      </c>
      <c r="C13">
        <f>MB!K5</f>
        <v>0.05842418110625224</v>
      </c>
      <c r="D13">
        <f>C13*$E$4</f>
        <v>4.7907828507126835</v>
      </c>
    </row>
    <row r="14" spans="2:6" ht="12.75">
      <c r="B14" t="s">
        <v>1</v>
      </c>
      <c r="C14">
        <f>MB!K6</f>
        <v>0.02355692182109426</v>
      </c>
      <c r="D14">
        <f aca="true" t="shared" si="0" ref="D14:D21">C14*$E$4</f>
        <v>1.9316675893297293</v>
      </c>
      <c r="F14" t="s">
        <v>133</v>
      </c>
    </row>
    <row r="15" spans="2:7" ht="12.75">
      <c r="B15" t="s">
        <v>2</v>
      </c>
      <c r="C15">
        <f>MB!K7</f>
        <v>0.625640273673154</v>
      </c>
      <c r="D15">
        <f t="shared" si="0"/>
        <v>51.30250244119863</v>
      </c>
      <c r="F15" t="s">
        <v>82</v>
      </c>
      <c r="G15" s="35">
        <v>2.158E-05</v>
      </c>
    </row>
    <row r="16" spans="2:7" ht="12.75">
      <c r="B16" t="s">
        <v>3</v>
      </c>
      <c r="C16">
        <f>MB!K8</f>
        <v>0.16494710788950703</v>
      </c>
      <c r="D16">
        <f t="shared" si="0"/>
        <v>13.525662846939577</v>
      </c>
      <c r="F16" t="s">
        <v>79</v>
      </c>
      <c r="G16">
        <f>(D20*D19)/(D13*D15^3)</f>
        <v>1.4482271149969409E-05</v>
      </c>
    </row>
    <row r="17" spans="2:4" ht="12.75">
      <c r="B17" t="s">
        <v>4</v>
      </c>
      <c r="C17">
        <f>MB!K9</f>
        <v>0.023563872555643805</v>
      </c>
      <c r="D17">
        <f t="shared" si="0"/>
        <v>1.932237549562792</v>
      </c>
    </row>
    <row r="18" spans="2:4" ht="12.75">
      <c r="B18" t="s">
        <v>5</v>
      </c>
      <c r="C18">
        <f>MB!K10</f>
        <v>0.011781936277821902</v>
      </c>
      <c r="D18">
        <f t="shared" si="0"/>
        <v>0.966118774781396</v>
      </c>
    </row>
    <row r="19" spans="2:7" ht="12.75">
      <c r="B19" t="s">
        <v>6</v>
      </c>
      <c r="C19">
        <f>MB!K11</f>
        <v>0.0190857066765269</v>
      </c>
      <c r="D19">
        <f t="shared" si="0"/>
        <v>1.565027947475206</v>
      </c>
      <c r="F19" t="s">
        <v>134</v>
      </c>
      <c r="G19" t="s">
        <v>135</v>
      </c>
    </row>
    <row r="20" spans="2:6" ht="12.75">
      <c r="B20" t="s">
        <v>7</v>
      </c>
      <c r="C20">
        <f>MB!K12</f>
        <v>0.07299999999999995</v>
      </c>
      <c r="D20">
        <f t="shared" si="0"/>
        <v>5.985999999999996</v>
      </c>
      <c r="F20">
        <f>(D13*D15)/(D19*D14)</f>
        <v>81.30000000000003</v>
      </c>
    </row>
    <row r="21" spans="3:4" ht="12.75">
      <c r="C21">
        <f>MB!K13</f>
        <v>1</v>
      </c>
      <c r="D21">
        <f t="shared" si="0"/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trondhal</dc:creator>
  <cp:keywords/>
  <dc:description/>
  <cp:lastModifiedBy>trondhal</cp:lastModifiedBy>
  <cp:lastPrinted>2001-03-26T12:26:11Z</cp:lastPrinted>
  <dcterms:created xsi:type="dcterms:W3CDTF">2001-01-31T13:51:06Z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