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tabRatio="745" firstSheet="3" activeTab="5"/>
  </bookViews>
  <sheets>
    <sheet name="Reaktor" sheetId="1" r:id="rId1"/>
    <sheet name="Flytskjema" sheetId="2" r:id="rId2"/>
    <sheet name="Tot. Massebalanse" sheetId="3" r:id="rId3"/>
    <sheet name="Cp-verdier" sheetId="4" r:id="rId4"/>
    <sheet name="Enkelt massebalanser" sheetId="5" r:id="rId5"/>
    <sheet name="Forbrenning" sheetId="6" r:id="rId6"/>
    <sheet name="Energibalanse Reaktor" sheetId="7" r:id="rId7"/>
  </sheets>
  <definedNames/>
  <calcPr fullCalcOnLoad="1"/>
</workbook>
</file>

<file path=xl/sharedStrings.xml><?xml version="1.0" encoding="utf-8"?>
<sst xmlns="http://schemas.openxmlformats.org/spreadsheetml/2006/main" count="361" uniqueCount="186">
  <si>
    <t>Massebalanse for reaktor i sølvprosessen</t>
  </si>
  <si>
    <t>Reaksjonslikninger:</t>
  </si>
  <si>
    <t>Rx. 1</t>
  </si>
  <si>
    <t>Rx. 2</t>
  </si>
  <si>
    <r>
      <t>CH</t>
    </r>
    <r>
      <rPr>
        <vertAlign val="subscript"/>
        <sz val="10"/>
        <rFont val="Arial"/>
        <family val="2"/>
      </rPr>
      <t>3</t>
    </r>
    <r>
      <rPr>
        <sz val="10"/>
        <rFont val="Arial"/>
        <family val="0"/>
      </rPr>
      <t>OH + 1/2 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==&gt; CH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 + 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</si>
  <si>
    <r>
      <t>CH</t>
    </r>
    <r>
      <rPr>
        <vertAlign val="subscript"/>
        <sz val="10"/>
        <rFont val="Arial"/>
        <family val="2"/>
      </rPr>
      <t>3</t>
    </r>
    <r>
      <rPr>
        <sz val="10"/>
        <rFont val="Arial"/>
        <family val="0"/>
      </rPr>
      <t>OH              ==&gt; CH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 + H</t>
    </r>
    <r>
      <rPr>
        <vertAlign val="subscript"/>
        <sz val="10"/>
        <rFont val="Arial"/>
        <family val="2"/>
      </rPr>
      <t>2</t>
    </r>
  </si>
  <si>
    <t>Rx. 3</t>
  </si>
  <si>
    <r>
      <t>CH</t>
    </r>
    <r>
      <rPr>
        <vertAlign val="subscript"/>
        <sz val="10"/>
        <rFont val="Arial"/>
        <family val="2"/>
      </rPr>
      <t>3</t>
    </r>
    <r>
      <rPr>
        <sz val="10"/>
        <rFont val="Arial"/>
        <family val="0"/>
      </rPr>
      <t>OH + 3/2 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==&gt;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+ 2 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</si>
  <si>
    <t>Rx. 4</t>
  </si>
  <si>
    <r>
      <t>CH</t>
    </r>
    <r>
      <rPr>
        <vertAlign val="subscript"/>
        <sz val="10"/>
        <rFont val="Arial"/>
        <family val="2"/>
      </rPr>
      <t>3</t>
    </r>
    <r>
      <rPr>
        <sz val="10"/>
        <rFont val="Arial"/>
        <family val="0"/>
      </rPr>
      <t>OH</t>
    </r>
  </si>
  <si>
    <r>
      <t>O</t>
    </r>
    <r>
      <rPr>
        <vertAlign val="subscript"/>
        <sz val="10"/>
        <rFont val="Arial"/>
        <family val="2"/>
      </rPr>
      <t>2</t>
    </r>
  </si>
  <si>
    <r>
      <t>CH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</si>
  <si>
    <r>
      <t>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</si>
  <si>
    <t>CO</t>
  </si>
  <si>
    <r>
      <t>CO</t>
    </r>
    <r>
      <rPr>
        <vertAlign val="subscript"/>
        <sz val="10"/>
        <rFont val="Arial"/>
        <family val="2"/>
      </rPr>
      <t>2</t>
    </r>
  </si>
  <si>
    <r>
      <t>H</t>
    </r>
    <r>
      <rPr>
        <vertAlign val="subscript"/>
        <sz val="10"/>
        <rFont val="Arial"/>
        <family val="2"/>
      </rPr>
      <t>2</t>
    </r>
  </si>
  <si>
    <t>Molvekt (kg/kmol)</t>
  </si>
  <si>
    <t>Mengde CO:</t>
  </si>
  <si>
    <r>
      <t>Mengde 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:</t>
    </r>
  </si>
  <si>
    <r>
      <t>Mengde 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:</t>
    </r>
  </si>
  <si>
    <r>
      <t>Mengde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:</t>
    </r>
  </si>
  <si>
    <t>kg/h</t>
  </si>
  <si>
    <t>Rx. 1 (kmol/h)</t>
  </si>
  <si>
    <t>Rx. 2 (kmol/h)</t>
  </si>
  <si>
    <t>Rx. 3 (kmol/h)</t>
  </si>
  <si>
    <t>Rx. 4 (kmol/h)</t>
  </si>
  <si>
    <r>
      <t>CH</t>
    </r>
    <r>
      <rPr>
        <vertAlign val="subscript"/>
        <sz val="10"/>
        <rFont val="Arial"/>
        <family val="2"/>
      </rPr>
      <t>3</t>
    </r>
    <r>
      <rPr>
        <sz val="10"/>
        <rFont val="Arial"/>
        <family val="0"/>
      </rPr>
      <t>OH +       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==&gt; CO + 2 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</si>
  <si>
    <t>Produktstrøm:</t>
  </si>
  <si>
    <t>Fødestrøm:</t>
  </si>
  <si>
    <t xml:space="preserve"> som gir beregningsgrunnlag:</t>
  </si>
  <si>
    <t>Metanol</t>
  </si>
  <si>
    <t>Prosessvann</t>
  </si>
  <si>
    <t>Prosessluft</t>
  </si>
  <si>
    <t>Fordamper</t>
  </si>
  <si>
    <t>Absorbsjons-</t>
  </si>
  <si>
    <t>tårn</t>
  </si>
  <si>
    <t>Resirkulert</t>
  </si>
  <si>
    <t>Formalin</t>
  </si>
  <si>
    <t>kjøler</t>
  </si>
  <si>
    <t>Reaktor med</t>
  </si>
  <si>
    <t>Absorsjons-</t>
  </si>
  <si>
    <t>vann</t>
  </si>
  <si>
    <t>Forenklet Flytskjema</t>
  </si>
  <si>
    <t>Prosess-</t>
  </si>
  <si>
    <t>luft</t>
  </si>
  <si>
    <t>Oksygen</t>
  </si>
  <si>
    <t>Hydrogen</t>
  </si>
  <si>
    <t>Formaldehyd</t>
  </si>
  <si>
    <t>Vann</t>
  </si>
  <si>
    <t>Inn</t>
  </si>
  <si>
    <t>Ut</t>
  </si>
  <si>
    <t>Fødestrøm (kg/h)</t>
  </si>
  <si>
    <t>Produktstrøm (kg/h)</t>
  </si>
  <si>
    <t xml:space="preserve">Opplysninger om prosesstrømmer, </t>
  </si>
  <si>
    <t>Sølvprosessen</t>
  </si>
  <si>
    <t>Abs.vann:</t>
  </si>
  <si>
    <t>Metanol:</t>
  </si>
  <si>
    <t>Prosessvann:</t>
  </si>
  <si>
    <t>Prosessluft:</t>
  </si>
  <si>
    <t>||</t>
  </si>
  <si>
    <t>V</t>
  </si>
  <si>
    <t>Formaldehyd:</t>
  </si>
  <si>
    <t>Vann:</t>
  </si>
  <si>
    <t xml:space="preserve"> ==&gt;Produkt:</t>
  </si>
  <si>
    <t xml:space="preserve"> ==&gt;Avgasser:</t>
  </si>
  <si>
    <t>Nitrogen</t>
  </si>
  <si>
    <t>Nitrogen:</t>
  </si>
  <si>
    <t>Hydrogen:</t>
  </si>
  <si>
    <t>Karbondioksid:</t>
  </si>
  <si>
    <t>Karbonmonoksid:</t>
  </si>
  <si>
    <t>Dannet i reaktor</t>
  </si>
  <si>
    <t>Dannet (kmol/h):</t>
  </si>
  <si>
    <t>Mengde Dannet (kg/h):</t>
  </si>
  <si>
    <t>Reaksjonsvarme i reaktor</t>
  </si>
  <si>
    <t>Rx.1</t>
  </si>
  <si>
    <t>Rx.2</t>
  </si>
  <si>
    <t>Rx.3</t>
  </si>
  <si>
    <t>Rx.4</t>
  </si>
  <si>
    <t>Rx.varme</t>
  </si>
  <si>
    <t>(kJ/mol)</t>
  </si>
  <si>
    <r>
      <t>D</t>
    </r>
    <r>
      <rPr>
        <sz val="10"/>
        <rFont val="Arial"/>
        <family val="2"/>
      </rPr>
      <t>H</t>
    </r>
    <r>
      <rPr>
        <vertAlign val="superscript"/>
        <sz val="10"/>
        <rFont val="Arial"/>
        <family val="2"/>
      </rPr>
      <t>o</t>
    </r>
  </si>
  <si>
    <t>(kJ/h)</t>
  </si>
  <si>
    <t>Effekt</t>
  </si>
  <si>
    <t>(kW)</t>
  </si>
  <si>
    <t>Total reaksjonsvarme:</t>
  </si>
  <si>
    <t>Energibalanse Reaktor</t>
  </si>
  <si>
    <t>Temperatur Fødestrøm:</t>
  </si>
  <si>
    <t>Temperatur Produktstrøm:</t>
  </si>
  <si>
    <t>Energi inn = Energi ut</t>
  </si>
  <si>
    <t>Oppvarming fra temp fødestrøm til temp produktstrøm</t>
  </si>
  <si>
    <r>
      <t>N</t>
    </r>
    <r>
      <rPr>
        <vertAlign val="subscript"/>
        <sz val="10"/>
        <rFont val="Arial"/>
        <family val="2"/>
      </rPr>
      <t>2</t>
    </r>
  </si>
  <si>
    <t>(kmol/h)</t>
  </si>
  <si>
    <t>Mengde</t>
  </si>
  <si>
    <r>
      <t xml:space="preserve">ò </t>
    </r>
    <r>
      <rPr>
        <sz val="10"/>
        <rFont val="Arial"/>
        <family val="2"/>
      </rPr>
      <t>C</t>
    </r>
    <r>
      <rPr>
        <vertAlign val="subscript"/>
        <sz val="10"/>
        <rFont val="Arial"/>
        <family val="2"/>
      </rPr>
      <t>p</t>
    </r>
    <r>
      <rPr>
        <sz val="10"/>
        <rFont val="Arial"/>
        <family val="2"/>
      </rPr>
      <t xml:space="preserve"> dx</t>
    </r>
  </si>
  <si>
    <t>Varme</t>
  </si>
  <si>
    <t>Total energi:</t>
  </si>
  <si>
    <t>Massebalanse Fordamper</t>
  </si>
  <si>
    <t>Masse (kg/h)</t>
  </si>
  <si>
    <t>Totalt</t>
  </si>
  <si>
    <t>Til Reaktor</t>
  </si>
  <si>
    <t>Massebalanse Reaktor</t>
  </si>
  <si>
    <t>Fra Fordamper</t>
  </si>
  <si>
    <t>Til Abs.tårn</t>
  </si>
  <si>
    <t>Massebalanse Absorbsjonstårn</t>
  </si>
  <si>
    <t>Fra Reaktor</t>
  </si>
  <si>
    <t>Abs.vann</t>
  </si>
  <si>
    <t>Avgass</t>
  </si>
  <si>
    <t>Produkt</t>
  </si>
  <si>
    <t>Resirk</t>
  </si>
  <si>
    <t>Sammensetninger</t>
  </si>
  <si>
    <r>
      <t>Ut</t>
    </r>
    <r>
      <rPr>
        <vertAlign val="superscript"/>
        <sz val="10"/>
        <rFont val="Arial"/>
        <family val="2"/>
      </rPr>
      <t>1)</t>
    </r>
  </si>
  <si>
    <t>1) Se sammensetninger (tabell nedenfor)</t>
  </si>
  <si>
    <t>Totalt inn:</t>
  </si>
  <si>
    <t>Totalt Ut:</t>
  </si>
  <si>
    <t>Total Massebalanse</t>
  </si>
  <si>
    <t>Produkt:</t>
  </si>
  <si>
    <t>Avgass:</t>
  </si>
  <si>
    <t>Karbondioksid</t>
  </si>
  <si>
    <t>Karbonmonoksid</t>
  </si>
  <si>
    <t>kg/h      =====&gt;</t>
  </si>
  <si>
    <t>kg/h      ===&gt;</t>
  </si>
  <si>
    <t>Varmekapasitetskonstanter</t>
  </si>
  <si>
    <t>Molvekt</t>
  </si>
  <si>
    <t>Fordampningsvarme</t>
  </si>
  <si>
    <t>Fase</t>
  </si>
  <si>
    <t>a*10^3</t>
  </si>
  <si>
    <t>b*10^5</t>
  </si>
  <si>
    <t>c*10^8</t>
  </si>
  <si>
    <t>d * 10^12</t>
  </si>
  <si>
    <t>(kg/kmol)</t>
  </si>
  <si>
    <r>
      <t>D</t>
    </r>
    <r>
      <rPr>
        <sz val="10"/>
        <rFont val="Arial"/>
        <family val="2"/>
      </rPr>
      <t>H (MJ/Kmol)</t>
    </r>
  </si>
  <si>
    <t>l</t>
  </si>
  <si>
    <t>g</t>
  </si>
  <si>
    <t xml:space="preserve">Vann </t>
  </si>
  <si>
    <t>aq</t>
  </si>
  <si>
    <t>Luft</t>
  </si>
  <si>
    <t>CO2</t>
  </si>
  <si>
    <t xml:space="preserve">CO </t>
  </si>
  <si>
    <t>Cp (KJ/mol*C) = a+bT+cT^2+dT^3</t>
  </si>
  <si>
    <t>ºC</t>
  </si>
  <si>
    <t>kmol/h</t>
  </si>
  <si>
    <t>Inn:</t>
  </si>
  <si>
    <r>
      <t>Oksygen</t>
    </r>
    <r>
      <rPr>
        <vertAlign val="superscript"/>
        <sz val="10"/>
        <rFont val="Arial"/>
        <family val="2"/>
      </rPr>
      <t>2)</t>
    </r>
  </si>
  <si>
    <t>Forbr.rx.1</t>
  </si>
  <si>
    <r>
      <t>CO +  1/2 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==&gt; CO</t>
    </r>
    <r>
      <rPr>
        <vertAlign val="subscript"/>
        <sz val="10"/>
        <rFont val="Arial"/>
        <family val="2"/>
      </rPr>
      <t>2</t>
    </r>
  </si>
  <si>
    <t>Forbr.rx.2</t>
  </si>
  <si>
    <r>
      <t>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+  1/2 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==&gt; 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</si>
  <si>
    <t>Inn (kg/h)</t>
  </si>
  <si>
    <t>Inn (kmol/h)</t>
  </si>
  <si>
    <t>Forbr.rx.1 (kmol/h)</t>
  </si>
  <si>
    <t>Forbr.rx.2 (kmol/h)</t>
  </si>
  <si>
    <t>Ut (kmol/h)</t>
  </si>
  <si>
    <t>Ut (kg/h)</t>
  </si>
  <si>
    <t>Balanse</t>
  </si>
  <si>
    <t>Total</t>
  </si>
  <si>
    <t>Ut:</t>
  </si>
  <si>
    <t>Totalt:</t>
  </si>
  <si>
    <r>
      <t>Oksygen</t>
    </r>
    <r>
      <rPr>
        <vertAlign val="superscript"/>
        <sz val="10"/>
        <rFont val="Arial"/>
        <family val="2"/>
      </rPr>
      <t>3)</t>
    </r>
  </si>
  <si>
    <r>
      <t>Massebalanse Forbrenningskammer</t>
    </r>
    <r>
      <rPr>
        <vertAlign val="superscript"/>
        <sz val="10"/>
        <rFont val="Arial"/>
        <family val="2"/>
      </rPr>
      <t>2)</t>
    </r>
  </si>
  <si>
    <t>2) Fullstendig forbrenning antatt</t>
  </si>
  <si>
    <t>Fullstendig forbrenning av CO og hydrogen (massebalanse)</t>
  </si>
  <si>
    <t>Fullstendig forbrenning av CO og hydrogen (energibalanse)</t>
  </si>
  <si>
    <t>Reaksjonsvarme i kammer</t>
  </si>
  <si>
    <t>Total forbrenningsvarme:</t>
  </si>
  <si>
    <t>Temp. ut</t>
  </si>
  <si>
    <t>Temp. inn</t>
  </si>
  <si>
    <t>2) Mengde luft er beregnet ut ifra nøyaktig forbruk ved fullstendig forbruk av oksygen</t>
  </si>
  <si>
    <t>Dette fører til økningen i nitrogen</t>
  </si>
  <si>
    <t>Effekt som må fjernes (kW):</t>
  </si>
  <si>
    <t>Forbrenning</t>
  </si>
  <si>
    <t>3) Mengde luft er beregnet ut ifra nøyaktig fullstendig forbruk av oksygen.</t>
  </si>
  <si>
    <t>Forbr.luft</t>
  </si>
  <si>
    <t>Dampproduksjon av overskuddsvarme</t>
  </si>
  <si>
    <t>Ved 5 bars trykk</t>
  </si>
  <si>
    <r>
      <t>D</t>
    </r>
    <r>
      <rPr>
        <sz val="10"/>
        <rFont val="Arial"/>
        <family val="2"/>
      </rPr>
      <t>H</t>
    </r>
    <r>
      <rPr>
        <vertAlign val="superscript"/>
        <sz val="10"/>
        <rFont val="Arial"/>
        <family val="2"/>
      </rPr>
      <t>o</t>
    </r>
    <r>
      <rPr>
        <vertAlign val="subscript"/>
        <sz val="10"/>
        <rFont val="Arial"/>
        <family val="2"/>
      </rPr>
      <t>vap</t>
    </r>
  </si>
  <si>
    <t>Kokepunkt</t>
  </si>
  <si>
    <t>kJ/mol</t>
  </si>
  <si>
    <t>(ved 152ºC)</t>
  </si>
  <si>
    <t>Cp</t>
  </si>
  <si>
    <t>kJ/kg K</t>
  </si>
  <si>
    <t>kJ/kg</t>
  </si>
  <si>
    <t>Mengde damp:</t>
  </si>
  <si>
    <t>Temp vann inn</t>
  </si>
  <si>
    <t>Temp damp ut</t>
  </si>
  <si>
    <t>kg damp/h</t>
  </si>
  <si>
    <t>Adiabatisk reaktor temp:</t>
  </si>
</sst>
</file>

<file path=xl/styles.xml><?xml version="1.0" encoding="utf-8"?>
<styleSheet xmlns="http://schemas.openxmlformats.org/spreadsheetml/2006/main">
  <numFmts count="16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0.0"/>
    <numFmt numFmtId="165" formatCode="0.0000"/>
    <numFmt numFmtId="166" formatCode="0.000"/>
    <numFmt numFmtId="167" formatCode="0.0000E+00"/>
    <numFmt numFmtId="168" formatCode="0.0000000"/>
    <numFmt numFmtId="169" formatCode="0.000000"/>
    <numFmt numFmtId="170" formatCode="0.00000"/>
    <numFmt numFmtId="171" formatCode="0.000E+00"/>
  </numFmts>
  <fonts count="9">
    <font>
      <sz val="10"/>
      <name val="Arial"/>
      <family val="0"/>
    </font>
    <font>
      <vertAlign val="subscript"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name val="Symbol"/>
      <family val="1"/>
    </font>
    <font>
      <vertAlign val="superscript"/>
      <sz val="10"/>
      <name val="Arial"/>
      <family val="2"/>
    </font>
    <font>
      <sz val="1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medium"/>
      <bottom style="double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164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164" fontId="0" fillId="0" borderId="4" xfId="0" applyNumberFormat="1" applyBorder="1" applyAlignment="1">
      <alignment/>
    </xf>
    <xf numFmtId="164" fontId="0" fillId="0" borderId="1" xfId="0" applyNumberFormat="1" applyBorder="1" applyAlignment="1">
      <alignment/>
    </xf>
    <xf numFmtId="164" fontId="0" fillId="0" borderId="5" xfId="0" applyNumberFormat="1" applyBorder="1" applyAlignment="1">
      <alignment/>
    </xf>
    <xf numFmtId="0" fontId="0" fillId="0" borderId="5" xfId="0" applyBorder="1" applyAlignment="1">
      <alignment/>
    </xf>
    <xf numFmtId="1" fontId="0" fillId="0" borderId="3" xfId="0" applyNumberFormat="1" applyBorder="1" applyAlignment="1">
      <alignment/>
    </xf>
    <xf numFmtId="1" fontId="0" fillId="0" borderId="5" xfId="0" applyNumberFormat="1" applyBorder="1" applyAlignment="1">
      <alignment/>
    </xf>
    <xf numFmtId="0" fontId="3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0" fillId="3" borderId="0" xfId="0" applyFill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/>
    </xf>
    <xf numFmtId="0" fontId="0" fillId="3" borderId="14" xfId="0" applyFill="1" applyBorder="1" applyAlignment="1">
      <alignment/>
    </xf>
    <xf numFmtId="0" fontId="0" fillId="3" borderId="15" xfId="0" applyFill="1" applyBorder="1" applyAlignment="1">
      <alignment/>
    </xf>
    <xf numFmtId="0" fontId="0" fillId="3" borderId="16" xfId="0" applyFill="1" applyBorder="1" applyAlignment="1">
      <alignment/>
    </xf>
    <xf numFmtId="0" fontId="0" fillId="3" borderId="17" xfId="0" applyFill="1" applyBorder="1" applyAlignment="1">
      <alignment/>
    </xf>
    <xf numFmtId="0" fontId="0" fillId="3" borderId="18" xfId="0" applyFill="1" applyBorder="1" applyAlignment="1">
      <alignment/>
    </xf>
    <xf numFmtId="0" fontId="0" fillId="3" borderId="19" xfId="0" applyFill="1" applyBorder="1" applyAlignment="1">
      <alignment/>
    </xf>
    <xf numFmtId="0" fontId="0" fillId="3" borderId="20" xfId="0" applyFill="1" applyBorder="1" applyAlignment="1">
      <alignment/>
    </xf>
    <xf numFmtId="0" fontId="0" fillId="3" borderId="21" xfId="0" applyFill="1" applyBorder="1" applyAlignment="1">
      <alignment/>
    </xf>
    <xf numFmtId="0" fontId="0" fillId="3" borderId="22" xfId="0" applyFill="1" applyBorder="1" applyAlignment="1">
      <alignment/>
    </xf>
    <xf numFmtId="0" fontId="0" fillId="3" borderId="23" xfId="0" applyFill="1" applyBorder="1" applyAlignment="1">
      <alignment/>
    </xf>
    <xf numFmtId="0" fontId="0" fillId="3" borderId="24" xfId="0" applyFill="1" applyBorder="1" applyAlignment="1">
      <alignment/>
    </xf>
    <xf numFmtId="0" fontId="0" fillId="3" borderId="25" xfId="0" applyFill="1" applyBorder="1" applyAlignment="1">
      <alignment/>
    </xf>
    <xf numFmtId="0" fontId="0" fillId="3" borderId="26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0" xfId="0" applyAlignment="1">
      <alignment horizontal="right"/>
    </xf>
    <xf numFmtId="0" fontId="0" fillId="0" borderId="27" xfId="0" applyBorder="1" applyAlignment="1">
      <alignment horizontal="right"/>
    </xf>
    <xf numFmtId="0" fontId="0" fillId="0" borderId="27" xfId="0" applyBorder="1" applyAlignment="1">
      <alignment/>
    </xf>
    <xf numFmtId="0" fontId="6" fillId="0" borderId="0" xfId="0" applyFon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11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0" fillId="4" borderId="3" xfId="0" applyFill="1" applyBorder="1" applyAlignment="1">
      <alignment/>
    </xf>
    <xf numFmtId="0" fontId="0" fillId="0" borderId="28" xfId="0" applyBorder="1" applyAlignment="1">
      <alignment/>
    </xf>
    <xf numFmtId="1" fontId="0" fillId="0" borderId="1" xfId="0" applyNumberFormat="1" applyBorder="1" applyAlignment="1">
      <alignment/>
    </xf>
    <xf numFmtId="1" fontId="0" fillId="0" borderId="28" xfId="0" applyNumberFormat="1" applyBorder="1" applyAlignment="1">
      <alignment/>
    </xf>
    <xf numFmtId="0" fontId="0" fillId="0" borderId="27" xfId="0" applyFont="1" applyBorder="1" applyAlignment="1">
      <alignment horizontal="right"/>
    </xf>
    <xf numFmtId="0" fontId="0" fillId="0" borderId="27" xfId="0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4" borderId="30" xfId="0" applyFill="1" applyBorder="1" applyAlignment="1">
      <alignment horizontal="center"/>
    </xf>
    <xf numFmtId="0" fontId="0" fillId="4" borderId="31" xfId="0" applyFill="1" applyBorder="1" applyAlignment="1">
      <alignment horizontal="center"/>
    </xf>
    <xf numFmtId="0" fontId="0" fillId="4" borderId="32" xfId="0" applyFill="1" applyBorder="1" applyAlignment="1">
      <alignment horizontal="center"/>
    </xf>
    <xf numFmtId="0" fontId="0" fillId="4" borderId="33" xfId="0" applyFill="1" applyBorder="1" applyAlignment="1">
      <alignment horizontal="center"/>
    </xf>
    <xf numFmtId="0" fontId="0" fillId="4" borderId="34" xfId="0" applyFill="1" applyBorder="1" applyAlignment="1">
      <alignment horizontal="center"/>
    </xf>
    <xf numFmtId="0" fontId="0" fillId="4" borderId="35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36" xfId="0" applyFill="1" applyBorder="1" applyAlignment="1">
      <alignment horizontal="center"/>
    </xf>
    <xf numFmtId="0" fontId="0" fillId="4" borderId="37" xfId="0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4" borderId="39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4" borderId="3" xfId="0" applyFill="1" applyBorder="1" applyAlignment="1">
      <alignment horizontal="center"/>
    </xf>
    <xf numFmtId="164" fontId="0" fillId="0" borderId="28" xfId="0" applyNumberFormat="1" applyBorder="1" applyAlignment="1">
      <alignment/>
    </xf>
    <xf numFmtId="1" fontId="0" fillId="0" borderId="4" xfId="0" applyNumberFormat="1" applyBorder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6" fillId="0" borderId="3" xfId="0" applyFont="1" applyBorder="1" applyAlignment="1">
      <alignment/>
    </xf>
    <xf numFmtId="0" fontId="6" fillId="0" borderId="3" xfId="0" applyFont="1" applyBorder="1" applyAlignment="1">
      <alignment horizontal="center"/>
    </xf>
    <xf numFmtId="11" fontId="0" fillId="0" borderId="3" xfId="0" applyNumberFormat="1" applyBorder="1" applyAlignment="1">
      <alignment/>
    </xf>
    <xf numFmtId="0" fontId="0" fillId="0" borderId="3" xfId="0" applyBorder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4" borderId="41" xfId="0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0" fillId="4" borderId="29" xfId="0" applyFill="1" applyBorder="1" applyAlignment="1">
      <alignment horizontal="center"/>
    </xf>
    <xf numFmtId="0" fontId="6" fillId="4" borderId="3" xfId="0" applyFont="1" applyFill="1" applyBorder="1" applyAlignment="1">
      <alignment/>
    </xf>
    <xf numFmtId="2" fontId="0" fillId="0" borderId="3" xfId="0" applyNumberFormat="1" applyBorder="1" applyAlignment="1">
      <alignment/>
    </xf>
    <xf numFmtId="2" fontId="0" fillId="0" borderId="1" xfId="0" applyNumberFormat="1" applyBorder="1" applyAlignment="1">
      <alignment/>
    </xf>
    <xf numFmtId="11" fontId="0" fillId="0" borderId="1" xfId="0" applyNumberFormat="1" applyBorder="1" applyAlignment="1">
      <alignment/>
    </xf>
    <xf numFmtId="0" fontId="6" fillId="4" borderId="3" xfId="0" applyFont="1" applyFill="1" applyBorder="1" applyAlignment="1">
      <alignment horizont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B4">
      <selection activeCell="B15" sqref="B15"/>
    </sheetView>
  </sheetViews>
  <sheetFormatPr defaultColWidth="11.421875" defaultRowHeight="12.75"/>
  <cols>
    <col min="1" max="1" width="19.57421875" style="0" customWidth="1"/>
  </cols>
  <sheetData>
    <row r="1" spans="1:8" ht="18">
      <c r="A1" s="93" t="s">
        <v>0</v>
      </c>
      <c r="B1" s="93"/>
      <c r="C1" s="93"/>
      <c r="D1" s="93"/>
      <c r="E1" s="93"/>
      <c r="F1" s="93"/>
      <c r="G1" s="93"/>
      <c r="H1" s="93"/>
    </row>
    <row r="3" spans="1:9" ht="12.75">
      <c r="A3" s="15"/>
      <c r="B3" s="15"/>
      <c r="C3" s="15"/>
      <c r="D3" s="15"/>
      <c r="E3" s="15" t="s">
        <v>53</v>
      </c>
      <c r="F3" s="15"/>
      <c r="G3" s="15"/>
      <c r="H3" s="15"/>
      <c r="I3" s="15"/>
    </row>
    <row r="4" spans="1:9" ht="12.75">
      <c r="A4" s="13" t="s">
        <v>1</v>
      </c>
      <c r="B4" s="14"/>
      <c r="C4" s="14"/>
      <c r="D4" s="14"/>
      <c r="E4" s="15" t="s">
        <v>29</v>
      </c>
      <c r="F4" s="15"/>
      <c r="G4" s="15"/>
      <c r="H4" s="15"/>
      <c r="I4" s="15"/>
    </row>
    <row r="5" spans="1:9" ht="12.75">
      <c r="A5" s="14"/>
      <c r="B5" s="14"/>
      <c r="C5" s="14"/>
      <c r="D5" s="14"/>
      <c r="E5" s="15"/>
      <c r="F5" s="94" t="s">
        <v>27</v>
      </c>
      <c r="G5" s="94"/>
      <c r="H5" s="94" t="s">
        <v>28</v>
      </c>
      <c r="I5" s="94"/>
    </row>
    <row r="6" spans="1:9" ht="15.75">
      <c r="A6" s="14" t="s">
        <v>2</v>
      </c>
      <c r="B6" s="14" t="s">
        <v>4</v>
      </c>
      <c r="C6" s="14"/>
      <c r="D6" s="14"/>
      <c r="E6" s="15" t="s">
        <v>18</v>
      </c>
      <c r="F6" s="15">
        <v>0</v>
      </c>
      <c r="G6" s="15" t="s">
        <v>21</v>
      </c>
      <c r="H6" s="15">
        <v>973</v>
      </c>
      <c r="I6" s="15" t="s">
        <v>21</v>
      </c>
    </row>
    <row r="7" spans="1:9" ht="15.75">
      <c r="A7" s="14" t="s">
        <v>3</v>
      </c>
      <c r="B7" s="14" t="s">
        <v>5</v>
      </c>
      <c r="C7" s="14"/>
      <c r="D7" s="14"/>
      <c r="E7" s="15" t="s">
        <v>19</v>
      </c>
      <c r="F7" s="15">
        <v>60</v>
      </c>
      <c r="G7" s="15" t="s">
        <v>21</v>
      </c>
      <c r="H7" s="15">
        <v>0</v>
      </c>
      <c r="I7" s="15" t="s">
        <v>21</v>
      </c>
    </row>
    <row r="8" spans="1:9" ht="15.75">
      <c r="A8" s="14" t="s">
        <v>6</v>
      </c>
      <c r="B8" s="14" t="s">
        <v>7</v>
      </c>
      <c r="C8" s="14"/>
      <c r="D8" s="14"/>
      <c r="E8" s="15" t="s">
        <v>20</v>
      </c>
      <c r="F8" s="15">
        <v>272</v>
      </c>
      <c r="G8" s="15" t="s">
        <v>21</v>
      </c>
      <c r="H8" s="15">
        <v>0</v>
      </c>
      <c r="I8" s="15" t="s">
        <v>21</v>
      </c>
    </row>
    <row r="9" spans="1:9" ht="15.75">
      <c r="A9" s="14" t="s">
        <v>8</v>
      </c>
      <c r="B9" s="14" t="s">
        <v>26</v>
      </c>
      <c r="C9" s="14"/>
      <c r="D9" s="14"/>
      <c r="E9" s="15" t="s">
        <v>17</v>
      </c>
      <c r="F9" s="15">
        <v>43</v>
      </c>
      <c r="G9" s="15" t="s">
        <v>21</v>
      </c>
      <c r="H9" s="15">
        <v>0</v>
      </c>
      <c r="I9" s="15" t="s">
        <v>21</v>
      </c>
    </row>
    <row r="10" spans="1:9" ht="12.75">
      <c r="A10" s="15"/>
      <c r="B10" s="15"/>
      <c r="C10" s="15"/>
      <c r="D10" s="15"/>
      <c r="E10" s="15"/>
      <c r="F10" s="15"/>
      <c r="G10" s="15"/>
      <c r="H10" s="15"/>
      <c r="I10" s="15"/>
    </row>
    <row r="11" spans="1:9" ht="12.75">
      <c r="A11" s="15"/>
      <c r="B11" s="15"/>
      <c r="C11" s="15"/>
      <c r="D11" s="15"/>
      <c r="E11" s="15"/>
      <c r="F11" s="15"/>
      <c r="G11" s="15"/>
      <c r="H11" s="15"/>
      <c r="I11" s="15"/>
    </row>
    <row r="12" spans="1:9" ht="15.75">
      <c r="A12" s="95" t="s">
        <v>70</v>
      </c>
      <c r="B12" s="96"/>
      <c r="C12" s="96"/>
      <c r="D12" s="96"/>
      <c r="E12" s="96"/>
      <c r="F12" s="96"/>
      <c r="G12" s="96"/>
      <c r="H12" s="96"/>
      <c r="I12" s="97"/>
    </row>
    <row r="13" spans="1:9" ht="15.75">
      <c r="A13" s="2"/>
      <c r="B13" s="3" t="s">
        <v>9</v>
      </c>
      <c r="C13" s="3" t="s">
        <v>10</v>
      </c>
      <c r="D13" s="3" t="s">
        <v>11</v>
      </c>
      <c r="E13" s="3" t="s">
        <v>12</v>
      </c>
      <c r="F13" s="3" t="s">
        <v>15</v>
      </c>
      <c r="G13" s="3" t="s">
        <v>14</v>
      </c>
      <c r="H13" s="3" t="s">
        <v>13</v>
      </c>
      <c r="I13" s="3" t="s">
        <v>90</v>
      </c>
    </row>
    <row r="14" spans="1:9" ht="13.5" thickBot="1">
      <c r="A14" s="1" t="s">
        <v>16</v>
      </c>
      <c r="B14" s="8">
        <v>32</v>
      </c>
      <c r="C14" s="8">
        <v>32</v>
      </c>
      <c r="D14" s="8">
        <v>30</v>
      </c>
      <c r="E14" s="8">
        <v>18</v>
      </c>
      <c r="F14" s="8">
        <v>2</v>
      </c>
      <c r="G14" s="8">
        <v>44</v>
      </c>
      <c r="H14" s="8">
        <v>28</v>
      </c>
      <c r="I14" s="8">
        <v>28</v>
      </c>
    </row>
    <row r="15" spans="1:9" ht="12.75">
      <c r="A15" s="6" t="s">
        <v>22</v>
      </c>
      <c r="B15" s="7">
        <f>2*C15</f>
        <v>-39.195616883116884</v>
      </c>
      <c r="C15" s="7">
        <f>-(H6-F6)/C14-C16-C17-C18</f>
        <v>-19.597808441558442</v>
      </c>
      <c r="D15" s="7">
        <f>-2*C15</f>
        <v>39.195616883116884</v>
      </c>
      <c r="E15" s="7">
        <f>-2*C15</f>
        <v>39.195616883116884</v>
      </c>
      <c r="F15" s="7">
        <v>0</v>
      </c>
      <c r="G15" s="7">
        <v>0</v>
      </c>
      <c r="H15" s="7">
        <v>0</v>
      </c>
      <c r="I15" s="7">
        <v>0</v>
      </c>
    </row>
    <row r="16" spans="1:9" ht="12.75">
      <c r="A16" s="4" t="s">
        <v>23</v>
      </c>
      <c r="B16" s="5">
        <f>-F16</f>
        <v>-30</v>
      </c>
      <c r="C16" s="5">
        <v>0</v>
      </c>
      <c r="D16" s="5">
        <f>F16</f>
        <v>30</v>
      </c>
      <c r="E16" s="5">
        <v>0</v>
      </c>
      <c r="F16" s="5">
        <f>F7/F14</f>
        <v>30</v>
      </c>
      <c r="G16" s="5">
        <v>0</v>
      </c>
      <c r="H16" s="5">
        <v>0</v>
      </c>
      <c r="I16" s="5">
        <v>0</v>
      </c>
    </row>
    <row r="17" spans="1:9" ht="12.75">
      <c r="A17" s="4" t="s">
        <v>24</v>
      </c>
      <c r="B17" s="5">
        <f>-G17</f>
        <v>-6.181818181818182</v>
      </c>
      <c r="C17" s="5">
        <f>-(3/2)*G17</f>
        <v>-9.272727272727273</v>
      </c>
      <c r="D17" s="7">
        <v>0</v>
      </c>
      <c r="E17" s="5">
        <f>2*G17</f>
        <v>12.363636363636363</v>
      </c>
      <c r="F17" s="5">
        <v>0</v>
      </c>
      <c r="G17" s="5">
        <f>F8/G14</f>
        <v>6.181818181818182</v>
      </c>
      <c r="H17" s="5">
        <v>0</v>
      </c>
      <c r="I17" s="5">
        <v>0</v>
      </c>
    </row>
    <row r="18" spans="1:9" ht="13.5" thickBot="1">
      <c r="A18" s="10" t="s">
        <v>25</v>
      </c>
      <c r="B18" s="9">
        <f>-H18</f>
        <v>-1.5357142857142858</v>
      </c>
      <c r="C18" s="9">
        <f>-H18</f>
        <v>-1.5357142857142858</v>
      </c>
      <c r="D18" s="9">
        <v>0</v>
      </c>
      <c r="E18" s="9">
        <f>2*H18</f>
        <v>3.0714285714285716</v>
      </c>
      <c r="F18" s="9">
        <v>0</v>
      </c>
      <c r="G18" s="9">
        <v>0</v>
      </c>
      <c r="H18" s="9">
        <f>F9/H14</f>
        <v>1.5357142857142858</v>
      </c>
      <c r="I18" s="9">
        <v>0</v>
      </c>
    </row>
    <row r="19" spans="1:9" ht="13.5" thickTop="1">
      <c r="A19" s="6" t="s">
        <v>71</v>
      </c>
      <c r="B19" s="7">
        <f aca="true" t="shared" si="0" ref="B19:I19">SUM(B15:B18)</f>
        <v>-76.91314935064936</v>
      </c>
      <c r="C19" s="7">
        <f t="shared" si="0"/>
        <v>-30.40625</v>
      </c>
      <c r="D19" s="7">
        <f t="shared" si="0"/>
        <v>69.19561688311688</v>
      </c>
      <c r="E19" s="7">
        <f t="shared" si="0"/>
        <v>54.63068181818181</v>
      </c>
      <c r="F19" s="7">
        <f t="shared" si="0"/>
        <v>30</v>
      </c>
      <c r="G19" s="7">
        <f t="shared" si="0"/>
        <v>6.181818181818182</v>
      </c>
      <c r="H19" s="7">
        <f t="shared" si="0"/>
        <v>1.5357142857142858</v>
      </c>
      <c r="I19" s="7">
        <f t="shared" si="0"/>
        <v>0</v>
      </c>
    </row>
    <row r="20" spans="1:9" ht="13.5" thickBot="1">
      <c r="A20" s="9" t="s">
        <v>72</v>
      </c>
      <c r="B20" s="12">
        <f aca="true" t="shared" si="1" ref="B20:I20">B19*B14</f>
        <v>-2461.2207792207796</v>
      </c>
      <c r="C20" s="12">
        <f t="shared" si="1"/>
        <v>-973</v>
      </c>
      <c r="D20" s="12">
        <f t="shared" si="1"/>
        <v>2075.8685064935066</v>
      </c>
      <c r="E20" s="12">
        <f t="shared" si="1"/>
        <v>983.3522727272726</v>
      </c>
      <c r="F20" s="12">
        <f t="shared" si="1"/>
        <v>60</v>
      </c>
      <c r="G20" s="12">
        <f t="shared" si="1"/>
        <v>272</v>
      </c>
      <c r="H20" s="12">
        <f t="shared" si="1"/>
        <v>43</v>
      </c>
      <c r="I20" s="12">
        <f t="shared" si="1"/>
        <v>0</v>
      </c>
    </row>
    <row r="21" spans="1:9" ht="13.5" thickTop="1">
      <c r="A21" s="6" t="s">
        <v>51</v>
      </c>
      <c r="B21" s="6">
        <v>2555</v>
      </c>
      <c r="C21" s="6">
        <f>H6</f>
        <v>973</v>
      </c>
      <c r="D21" s="6">
        <v>8</v>
      </c>
      <c r="E21" s="6">
        <v>1202</v>
      </c>
      <c r="F21" s="6">
        <v>0</v>
      </c>
      <c r="G21" s="6">
        <v>0</v>
      </c>
      <c r="H21" s="6">
        <v>0</v>
      </c>
      <c r="I21" s="6">
        <v>3203</v>
      </c>
    </row>
    <row r="22" spans="1:9" ht="12.75">
      <c r="A22" s="4" t="s">
        <v>52</v>
      </c>
      <c r="B22" s="11">
        <f>B20+B21</f>
        <v>93.7792207792204</v>
      </c>
      <c r="C22" s="11">
        <f aca="true" t="shared" si="2" ref="C22:I22">C20+C21</f>
        <v>0</v>
      </c>
      <c r="D22" s="11">
        <f t="shared" si="2"/>
        <v>2083.8685064935066</v>
      </c>
      <c r="E22" s="11">
        <f t="shared" si="2"/>
        <v>2185.3522727272725</v>
      </c>
      <c r="F22" s="11">
        <f t="shared" si="2"/>
        <v>60</v>
      </c>
      <c r="G22" s="11">
        <f t="shared" si="2"/>
        <v>272</v>
      </c>
      <c r="H22" s="11">
        <f t="shared" si="2"/>
        <v>43</v>
      </c>
      <c r="I22" s="11">
        <f t="shared" si="2"/>
        <v>3203</v>
      </c>
    </row>
  </sheetData>
  <mergeCells count="4">
    <mergeCell ref="A1:H1"/>
    <mergeCell ref="F5:G5"/>
    <mergeCell ref="H5:I5"/>
    <mergeCell ref="A12:I12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6"/>
  <sheetViews>
    <sheetView workbookViewId="0" topLeftCell="A1">
      <selection activeCell="H20" sqref="H20"/>
    </sheetView>
  </sheetViews>
  <sheetFormatPr defaultColWidth="11.421875" defaultRowHeight="12.75"/>
  <cols>
    <col min="1" max="1" width="3.57421875" style="0" customWidth="1"/>
    <col min="2" max="2" width="9.140625" style="0" customWidth="1"/>
    <col min="3" max="3" width="4.140625" style="0" customWidth="1"/>
    <col min="4" max="4" width="6.7109375" style="0" customWidth="1"/>
    <col min="5" max="5" width="5.28125" style="0" customWidth="1"/>
    <col min="6" max="6" width="4.8515625" style="0" customWidth="1"/>
    <col min="7" max="7" width="5.421875" style="0" customWidth="1"/>
    <col min="8" max="8" width="7.7109375" style="0" customWidth="1"/>
    <col min="9" max="9" width="6.57421875" style="0" customWidth="1"/>
    <col min="10" max="10" width="5.00390625" style="0" customWidth="1"/>
    <col min="11" max="11" width="3.8515625" style="0" customWidth="1"/>
    <col min="12" max="12" width="2.7109375" style="0" customWidth="1"/>
    <col min="13" max="13" width="2.421875" style="0" customWidth="1"/>
    <col min="14" max="14" width="3.8515625" style="0" customWidth="1"/>
    <col min="15" max="15" width="4.57421875" style="0" customWidth="1"/>
    <col min="16" max="16" width="10.57421875" style="0" customWidth="1"/>
    <col min="17" max="17" width="3.8515625" style="0" customWidth="1"/>
  </cols>
  <sheetData>
    <row r="1" spans="1:19" ht="12.7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</row>
    <row r="2" spans="1:19" ht="18">
      <c r="A2" s="98" t="s">
        <v>42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16"/>
      <c r="S2" s="16"/>
    </row>
    <row r="3" spans="1:19" ht="12.7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</row>
    <row r="4" spans="1:19" ht="12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</row>
    <row r="5" spans="1:19" ht="12.7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</row>
    <row r="6" spans="1:19" ht="13.5" thickBot="1">
      <c r="A6" s="16"/>
      <c r="B6" s="16"/>
      <c r="C6" s="16"/>
      <c r="D6" s="17"/>
      <c r="E6" s="17"/>
      <c r="F6" s="17"/>
      <c r="G6" s="17" t="s">
        <v>36</v>
      </c>
      <c r="H6" s="17"/>
      <c r="I6" s="17"/>
      <c r="J6" s="17"/>
      <c r="K6" s="17"/>
      <c r="L6" s="16"/>
      <c r="M6" s="16"/>
      <c r="N6" s="16"/>
      <c r="O6" s="16"/>
      <c r="P6" s="16"/>
      <c r="Q6" s="16"/>
      <c r="R6" s="16"/>
      <c r="S6" s="16"/>
    </row>
    <row r="7" spans="1:19" ht="12.75">
      <c r="A7" s="16"/>
      <c r="B7" s="18" t="s">
        <v>43</v>
      </c>
      <c r="C7" s="17"/>
      <c r="D7" s="19"/>
      <c r="E7" s="16"/>
      <c r="F7" s="20"/>
      <c r="G7" s="16"/>
      <c r="H7" s="16"/>
      <c r="I7" s="16"/>
      <c r="J7" s="16"/>
      <c r="K7" s="21"/>
      <c r="L7" s="16"/>
      <c r="M7" s="16"/>
      <c r="N7" s="16"/>
      <c r="O7" s="16"/>
      <c r="P7" s="16"/>
      <c r="Q7" s="16"/>
      <c r="R7" s="16"/>
      <c r="S7" s="16"/>
    </row>
    <row r="8" spans="1:19" ht="13.5" thickBot="1">
      <c r="A8" s="16"/>
      <c r="B8" s="22" t="s">
        <v>41</v>
      </c>
      <c r="C8" s="23"/>
      <c r="D8" s="16"/>
      <c r="E8" s="20"/>
      <c r="F8" s="20"/>
      <c r="G8" s="16"/>
      <c r="H8" s="16"/>
      <c r="I8" s="16"/>
      <c r="J8" s="16"/>
      <c r="K8" s="21"/>
      <c r="L8" s="16"/>
      <c r="M8" s="16"/>
      <c r="N8" s="16"/>
      <c r="O8" s="16"/>
      <c r="P8" s="16"/>
      <c r="Q8" s="16"/>
      <c r="R8" s="16"/>
      <c r="S8" s="16"/>
    </row>
    <row r="9" spans="1:19" ht="13.5" thickBot="1">
      <c r="A9" s="16"/>
      <c r="B9" s="20"/>
      <c r="C9" s="21"/>
      <c r="D9" s="16"/>
      <c r="E9" s="20"/>
      <c r="F9" s="20"/>
      <c r="G9" s="16"/>
      <c r="H9" s="16"/>
      <c r="I9" s="16"/>
      <c r="J9" s="16"/>
      <c r="K9" s="21"/>
      <c r="L9" s="16"/>
      <c r="M9" s="16"/>
      <c r="N9" s="16"/>
      <c r="O9" s="16"/>
      <c r="P9" s="16"/>
      <c r="Q9" s="16"/>
      <c r="R9" s="16"/>
      <c r="S9" s="16"/>
    </row>
    <row r="10" spans="1:19" ht="13.5" thickBot="1">
      <c r="A10" s="16"/>
      <c r="B10" s="18" t="s">
        <v>30</v>
      </c>
      <c r="C10" s="24"/>
      <c r="D10" s="16"/>
      <c r="E10" s="20"/>
      <c r="F10" s="16"/>
      <c r="G10" s="16"/>
      <c r="H10" s="16"/>
      <c r="I10" s="16"/>
      <c r="J10" s="16"/>
      <c r="K10" s="21"/>
      <c r="L10" s="16"/>
      <c r="M10" s="16"/>
      <c r="N10" s="16"/>
      <c r="O10" s="16"/>
      <c r="P10" s="16"/>
      <c r="Q10" s="16"/>
      <c r="R10" s="16"/>
      <c r="S10" s="16"/>
    </row>
    <row r="11" spans="1:19" ht="13.5" thickBot="1">
      <c r="A11" s="16"/>
      <c r="B11" s="22"/>
      <c r="C11" s="21"/>
      <c r="D11" s="25"/>
      <c r="E11" s="26"/>
      <c r="F11" s="27"/>
      <c r="G11" s="17"/>
      <c r="H11" s="26" t="s">
        <v>39</v>
      </c>
      <c r="I11" s="27"/>
      <c r="J11" s="28"/>
      <c r="K11" s="26" t="s">
        <v>34</v>
      </c>
      <c r="L11" s="29"/>
      <c r="M11" s="29"/>
      <c r="N11" s="27"/>
      <c r="O11" s="30"/>
      <c r="P11" s="18" t="s">
        <v>37</v>
      </c>
      <c r="Q11" s="16"/>
      <c r="R11" s="16"/>
      <c r="S11" s="16"/>
    </row>
    <row r="12" spans="1:19" ht="13.5" thickBot="1">
      <c r="A12" s="16"/>
      <c r="B12" s="16"/>
      <c r="C12" s="20"/>
      <c r="D12" s="31"/>
      <c r="E12" s="32" t="s">
        <v>33</v>
      </c>
      <c r="F12" s="33"/>
      <c r="G12" s="16"/>
      <c r="H12" s="34" t="s">
        <v>38</v>
      </c>
      <c r="I12" s="35"/>
      <c r="J12" s="16"/>
      <c r="K12" s="34" t="s">
        <v>35</v>
      </c>
      <c r="L12" s="36"/>
      <c r="M12" s="36"/>
      <c r="N12" s="35"/>
      <c r="O12" s="16"/>
      <c r="P12" s="22"/>
      <c r="Q12" s="16"/>
      <c r="R12" s="16"/>
      <c r="S12" s="16"/>
    </row>
    <row r="13" spans="1:19" ht="13.5" thickBot="1">
      <c r="A13" s="16"/>
      <c r="B13" s="18" t="s">
        <v>43</v>
      </c>
      <c r="C13" s="37"/>
      <c r="D13" s="16"/>
      <c r="E13" s="34"/>
      <c r="F13" s="35"/>
      <c r="G13" s="16"/>
      <c r="H13" s="16"/>
      <c r="I13" s="16"/>
      <c r="J13" s="16"/>
      <c r="K13" s="21"/>
      <c r="L13" s="16"/>
      <c r="M13" s="38"/>
      <c r="N13" s="16"/>
      <c r="O13" s="16"/>
      <c r="P13" s="16"/>
      <c r="Q13" s="16"/>
      <c r="R13" s="16"/>
      <c r="S13" s="16"/>
    </row>
    <row r="14" spans="1:19" ht="13.5" thickBot="1">
      <c r="A14" s="16"/>
      <c r="B14" s="22" t="s">
        <v>44</v>
      </c>
      <c r="C14" s="16"/>
      <c r="D14" s="16"/>
      <c r="E14" s="16"/>
      <c r="F14" s="16"/>
      <c r="G14" s="16"/>
      <c r="H14" s="16"/>
      <c r="I14" s="16"/>
      <c r="J14" s="16"/>
      <c r="K14" s="21"/>
      <c r="L14" s="16"/>
      <c r="M14" s="21"/>
      <c r="N14" s="16"/>
      <c r="O14" s="16"/>
      <c r="P14" s="16"/>
      <c r="Q14" s="16"/>
      <c r="R14" s="16"/>
      <c r="S14" s="16"/>
    </row>
    <row r="15" spans="1:19" ht="12.75">
      <c r="A15" s="16"/>
      <c r="B15" s="16"/>
      <c r="C15" s="16"/>
      <c r="D15" s="16"/>
      <c r="E15" s="16"/>
      <c r="F15" s="16"/>
      <c r="G15" s="16"/>
      <c r="H15" s="26" t="s">
        <v>40</v>
      </c>
      <c r="I15" s="27"/>
      <c r="J15" s="28"/>
      <c r="K15" s="37"/>
      <c r="L15" s="20"/>
      <c r="M15" s="21"/>
      <c r="N15" s="25"/>
      <c r="O15" s="30"/>
      <c r="P15" s="18" t="s">
        <v>169</v>
      </c>
      <c r="Q15" s="16"/>
      <c r="R15" s="16"/>
      <c r="S15" s="16"/>
    </row>
    <row r="16" spans="1:19" ht="13.5" thickBot="1">
      <c r="A16" s="16"/>
      <c r="B16" s="16"/>
      <c r="C16" s="16"/>
      <c r="D16" s="16"/>
      <c r="E16" s="16"/>
      <c r="F16" s="16"/>
      <c r="G16" s="16"/>
      <c r="H16" s="34" t="s">
        <v>41</v>
      </c>
      <c r="I16" s="35"/>
      <c r="J16" s="16"/>
      <c r="K16" s="16"/>
      <c r="L16" s="16"/>
      <c r="M16" s="16"/>
      <c r="N16" s="16"/>
      <c r="O16" s="20"/>
      <c r="P16" s="22"/>
      <c r="Q16" s="16"/>
      <c r="R16" s="16"/>
      <c r="S16" s="16"/>
    </row>
    <row r="17" spans="1:19" ht="12.7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</row>
    <row r="18" spans="1:19" ht="12.7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</row>
    <row r="19" spans="1:19" ht="12.7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</row>
    <row r="20" spans="1:19" ht="12.7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</row>
    <row r="21" spans="1:19" ht="12.7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</row>
    <row r="22" spans="1:19" ht="12.7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</row>
    <row r="23" spans="1:19" ht="12.7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</row>
    <row r="24" spans="18:19" ht="12.75">
      <c r="R24" s="16"/>
      <c r="S24" s="16"/>
    </row>
    <row r="25" spans="18:19" ht="12.75">
      <c r="R25" s="16"/>
      <c r="S25" s="16"/>
    </row>
    <row r="26" spans="18:19" ht="12.75">
      <c r="R26" s="16"/>
      <c r="S26" s="16"/>
    </row>
  </sheetData>
  <mergeCells count="1">
    <mergeCell ref="A2:Q2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I31"/>
  <sheetViews>
    <sheetView workbookViewId="0" topLeftCell="A12">
      <selection activeCell="F32" sqref="F32"/>
    </sheetView>
  </sheetViews>
  <sheetFormatPr defaultColWidth="11.421875" defaultRowHeight="12.75"/>
  <cols>
    <col min="1" max="1" width="11.421875" style="45" customWidth="1"/>
    <col min="3" max="3" width="15.7109375" style="0" customWidth="1"/>
    <col min="6" max="6" width="13.28125" style="0" customWidth="1"/>
    <col min="7" max="7" width="15.140625" style="45" customWidth="1"/>
  </cols>
  <sheetData>
    <row r="4" spans="1:4" ht="12.75">
      <c r="A4" s="45" t="s">
        <v>55</v>
      </c>
      <c r="B4">
        <v>221</v>
      </c>
      <c r="C4" t="s">
        <v>119</v>
      </c>
      <c r="D4" t="s">
        <v>59</v>
      </c>
    </row>
    <row r="5" ht="13.5" thickBot="1">
      <c r="D5" t="s">
        <v>60</v>
      </c>
    </row>
    <row r="6" spans="4:9" ht="12.75">
      <c r="D6" s="39"/>
      <c r="E6" s="40"/>
      <c r="F6" t="s">
        <v>63</v>
      </c>
      <c r="G6" s="45" t="s">
        <v>61</v>
      </c>
      <c r="H6" s="50">
        <f>'Enkelt massebalanser'!D39</f>
        <v>2075.8685064935066</v>
      </c>
      <c r="I6" t="s">
        <v>21</v>
      </c>
    </row>
    <row r="7" spans="1:9" ht="12.75">
      <c r="A7" s="45" t="s">
        <v>56</v>
      </c>
      <c r="B7">
        <v>2541</v>
      </c>
      <c r="C7" t="s">
        <v>120</v>
      </c>
      <c r="D7" s="41"/>
      <c r="E7" s="42"/>
      <c r="G7" s="45" t="s">
        <v>62</v>
      </c>
      <c r="H7" s="50">
        <f>'Enkelt massebalanser'!D40</f>
        <v>2076.3522727272725</v>
      </c>
      <c r="I7" t="s">
        <v>21</v>
      </c>
    </row>
    <row r="8" spans="4:9" ht="12.75">
      <c r="D8" s="99" t="s">
        <v>54</v>
      </c>
      <c r="E8" s="100"/>
      <c r="G8" s="45" t="s">
        <v>56</v>
      </c>
      <c r="H8" s="50">
        <f>'Enkelt massebalanser'!D36</f>
        <v>79.7792207792204</v>
      </c>
      <c r="I8" t="s">
        <v>21</v>
      </c>
    </row>
    <row r="9" spans="1:5" ht="12.75">
      <c r="A9" s="45" t="s">
        <v>57</v>
      </c>
      <c r="B9">
        <v>807</v>
      </c>
      <c r="C9" t="s">
        <v>120</v>
      </c>
      <c r="D9" s="41"/>
      <c r="E9" s="42"/>
    </row>
    <row r="10" spans="4:9" ht="12.75">
      <c r="D10" s="41"/>
      <c r="E10" s="42"/>
      <c r="F10" t="s">
        <v>64</v>
      </c>
      <c r="G10" s="45" t="s">
        <v>66</v>
      </c>
      <c r="H10">
        <v>3203</v>
      </c>
      <c r="I10" t="s">
        <v>21</v>
      </c>
    </row>
    <row r="11" spans="1:9" ht="12.75">
      <c r="A11" s="45" t="s">
        <v>58</v>
      </c>
      <c r="B11">
        <v>4176</v>
      </c>
      <c r="C11" t="s">
        <v>120</v>
      </c>
      <c r="D11" s="41"/>
      <c r="E11" s="42"/>
      <c r="G11" s="45" t="s">
        <v>67</v>
      </c>
      <c r="H11">
        <v>60</v>
      </c>
      <c r="I11" t="s">
        <v>21</v>
      </c>
    </row>
    <row r="12" spans="4:9" ht="13.5" thickBot="1">
      <c r="D12" s="43"/>
      <c r="E12" s="44"/>
      <c r="G12" s="45" t="s">
        <v>68</v>
      </c>
      <c r="H12">
        <v>272</v>
      </c>
      <c r="I12" t="s">
        <v>21</v>
      </c>
    </row>
    <row r="13" spans="7:9" ht="12.75">
      <c r="G13" s="45" t="s">
        <v>69</v>
      </c>
      <c r="H13">
        <v>43</v>
      </c>
      <c r="I13" t="s">
        <v>21</v>
      </c>
    </row>
    <row r="14" ht="12.75">
      <c r="G14"/>
    </row>
    <row r="15" spans="1:9" ht="13.5" thickBot="1">
      <c r="A15" s="59" t="s">
        <v>112</v>
      </c>
      <c r="B15" s="60">
        <f>SUM(B4:B11)</f>
        <v>7745</v>
      </c>
      <c r="C15" s="60" t="s">
        <v>21</v>
      </c>
      <c r="G15" s="46" t="s">
        <v>113</v>
      </c>
      <c r="H15" s="47">
        <f>SUM(H6:H13)</f>
        <v>7810</v>
      </c>
      <c r="I15" s="47" t="s">
        <v>21</v>
      </c>
    </row>
    <row r="16" ht="13.5" thickTop="1"/>
    <row r="19" spans="1:4" ht="12.75">
      <c r="A19" s="101" t="s">
        <v>114</v>
      </c>
      <c r="B19" s="101"/>
      <c r="C19" s="101"/>
      <c r="D19" s="101"/>
    </row>
    <row r="20" spans="1:4" ht="12.75">
      <c r="A20" s="55" t="s">
        <v>49</v>
      </c>
      <c r="B20" s="55" t="s">
        <v>97</v>
      </c>
      <c r="C20" s="55" t="s">
        <v>50</v>
      </c>
      <c r="D20" s="55" t="s">
        <v>97</v>
      </c>
    </row>
    <row r="21" spans="1:4" ht="12.75">
      <c r="A21" s="4" t="s">
        <v>30</v>
      </c>
      <c r="B21" s="4">
        <v>2541</v>
      </c>
      <c r="C21" s="4" t="s">
        <v>115</v>
      </c>
      <c r="D21" s="4"/>
    </row>
    <row r="22" spans="1:4" ht="12.75">
      <c r="A22" s="4" t="s">
        <v>32</v>
      </c>
      <c r="B22" s="4">
        <v>4176</v>
      </c>
      <c r="C22" s="4" t="s">
        <v>47</v>
      </c>
      <c r="D22" s="4">
        <v>2076</v>
      </c>
    </row>
    <row r="23" spans="1:4" ht="12.75">
      <c r="A23" s="4" t="s">
        <v>31</v>
      </c>
      <c r="B23" s="4">
        <v>807</v>
      </c>
      <c r="C23" s="4" t="s">
        <v>48</v>
      </c>
      <c r="D23" s="4">
        <v>2076</v>
      </c>
    </row>
    <row r="24" spans="1:4" ht="12.75">
      <c r="A24" s="4" t="s">
        <v>105</v>
      </c>
      <c r="B24" s="4">
        <v>286</v>
      </c>
      <c r="C24" s="4"/>
      <c r="D24" s="4">
        <v>80</v>
      </c>
    </row>
    <row r="25" spans="1:4" ht="12.75">
      <c r="A25" s="4" t="s">
        <v>171</v>
      </c>
      <c r="B25" s="11">
        <f>Forbrenning!F8+Forbrenning!B8-Reaktor!I21</f>
        <v>2165.4523809523807</v>
      </c>
      <c r="C25" s="4" t="s">
        <v>116</v>
      </c>
      <c r="D25" s="4"/>
    </row>
    <row r="26" spans="1:4" ht="12.75">
      <c r="A26" s="4"/>
      <c r="B26" s="4"/>
      <c r="C26" s="62" t="s">
        <v>65</v>
      </c>
      <c r="D26" s="11">
        <f>Forbrenning!B13</f>
        <v>4863.880952380952</v>
      </c>
    </row>
    <row r="27" spans="1:4" ht="12.75">
      <c r="A27" s="4"/>
      <c r="B27" s="4"/>
      <c r="C27" s="62" t="s">
        <v>46</v>
      </c>
      <c r="D27" s="11">
        <f>Forbrenning!E13</f>
        <v>0</v>
      </c>
    </row>
    <row r="28" spans="1:4" ht="12.75">
      <c r="A28" s="92"/>
      <c r="B28" s="4"/>
      <c r="C28" s="4" t="s">
        <v>48</v>
      </c>
      <c r="D28" s="11">
        <f>Forbrenning!G13</f>
        <v>540</v>
      </c>
    </row>
    <row r="29" spans="1:4" ht="12.75">
      <c r="A29" s="4"/>
      <c r="B29" s="4"/>
      <c r="C29" s="62" t="s">
        <v>117</v>
      </c>
      <c r="D29" s="11">
        <f>Forbrenning!C13</f>
        <v>339.57142857142856</v>
      </c>
    </row>
    <row r="30" spans="1:4" ht="13.5" thickBot="1">
      <c r="A30" s="1"/>
      <c r="B30" s="1"/>
      <c r="C30" s="63" t="s">
        <v>118</v>
      </c>
      <c r="D30" s="57">
        <f>Forbrenning!D13</f>
        <v>0</v>
      </c>
    </row>
    <row r="31" spans="1:4" ht="13.5" thickBot="1">
      <c r="A31" s="56" t="s">
        <v>98</v>
      </c>
      <c r="B31" s="58">
        <f>SUM(B21:B25)</f>
        <v>9975.452380952382</v>
      </c>
      <c r="C31" s="56" t="s">
        <v>98</v>
      </c>
      <c r="D31" s="58">
        <f>SUM(D21:D30)</f>
        <v>9975.452380952382</v>
      </c>
    </row>
    <row r="32" ht="13.5" thickTop="1"/>
  </sheetData>
  <mergeCells count="2">
    <mergeCell ref="D8:E8"/>
    <mergeCell ref="A19:D19"/>
  </mergeCell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C14" sqref="C14"/>
    </sheetView>
  </sheetViews>
  <sheetFormatPr defaultColWidth="11.421875" defaultRowHeight="12.75"/>
  <sheetData>
    <row r="1" spans="1:8" ht="12.75">
      <c r="A1" s="64"/>
      <c r="B1" s="65"/>
      <c r="C1" s="66" t="s">
        <v>121</v>
      </c>
      <c r="D1" s="66"/>
      <c r="E1" s="66"/>
      <c r="F1" s="67"/>
      <c r="G1" s="53" t="s">
        <v>122</v>
      </c>
      <c r="H1" s="53" t="s">
        <v>123</v>
      </c>
    </row>
    <row r="2" spans="1:8" ht="13.5" thickBot="1">
      <c r="A2" s="68"/>
      <c r="B2" s="69" t="s">
        <v>124</v>
      </c>
      <c r="C2" s="70" t="s">
        <v>125</v>
      </c>
      <c r="D2" s="70" t="s">
        <v>126</v>
      </c>
      <c r="E2" s="70" t="s">
        <v>127</v>
      </c>
      <c r="F2" s="71" t="s">
        <v>128</v>
      </c>
      <c r="G2" s="53" t="s">
        <v>129</v>
      </c>
      <c r="H2" s="54" t="s">
        <v>130</v>
      </c>
    </row>
    <row r="3" spans="1:8" ht="12.75">
      <c r="A3" s="72" t="s">
        <v>30</v>
      </c>
      <c r="B3" s="73" t="s">
        <v>131</v>
      </c>
      <c r="C3" s="74">
        <v>75.86</v>
      </c>
      <c r="D3" s="74">
        <v>16.83</v>
      </c>
      <c r="E3" s="74"/>
      <c r="F3" s="75"/>
      <c r="G3" s="53">
        <v>32</v>
      </c>
      <c r="H3" s="53">
        <v>35.27</v>
      </c>
    </row>
    <row r="4" spans="1:8" ht="12.75">
      <c r="A4" s="76"/>
      <c r="B4" s="61" t="s">
        <v>132</v>
      </c>
      <c r="C4" s="77">
        <v>42.93</v>
      </c>
      <c r="D4" s="77">
        <v>8.301</v>
      </c>
      <c r="E4" s="77">
        <v>-1.87</v>
      </c>
      <c r="F4" s="78">
        <v>-8.03</v>
      </c>
      <c r="G4" s="53"/>
      <c r="H4" s="53"/>
    </row>
    <row r="5" spans="1:8" ht="12.75">
      <c r="A5" s="76" t="s">
        <v>133</v>
      </c>
      <c r="B5" s="61" t="s">
        <v>134</v>
      </c>
      <c r="C5" s="77">
        <v>75.4</v>
      </c>
      <c r="D5" s="77"/>
      <c r="E5" s="77"/>
      <c r="F5" s="78"/>
      <c r="G5" s="53">
        <v>18</v>
      </c>
      <c r="H5" s="53">
        <v>40.656</v>
      </c>
    </row>
    <row r="6" spans="1:8" ht="12.75">
      <c r="A6" s="76"/>
      <c r="B6" s="61" t="s">
        <v>132</v>
      </c>
      <c r="C6" s="77">
        <v>33.46</v>
      </c>
      <c r="D6" s="77">
        <v>0.688</v>
      </c>
      <c r="E6" s="77">
        <v>0.7604</v>
      </c>
      <c r="F6" s="78">
        <v>-3.593</v>
      </c>
      <c r="G6" s="53"/>
      <c r="H6" s="53"/>
    </row>
    <row r="7" spans="1:8" ht="12.75">
      <c r="A7" s="76" t="s">
        <v>135</v>
      </c>
      <c r="B7" s="61" t="s">
        <v>132</v>
      </c>
      <c r="C7" s="77">
        <v>28.94</v>
      </c>
      <c r="D7" s="77">
        <v>0.4147</v>
      </c>
      <c r="E7" s="77">
        <v>0.3191</v>
      </c>
      <c r="F7" s="78">
        <v>-1.965</v>
      </c>
      <c r="G7" s="53">
        <v>29</v>
      </c>
      <c r="H7" s="53"/>
    </row>
    <row r="8" spans="1:8" ht="12.75">
      <c r="A8" s="76" t="s">
        <v>45</v>
      </c>
      <c r="B8" s="61" t="s">
        <v>132</v>
      </c>
      <c r="C8" s="77">
        <v>29.1</v>
      </c>
      <c r="D8" s="77">
        <v>1.158</v>
      </c>
      <c r="E8" s="77">
        <v>-0.6076</v>
      </c>
      <c r="F8" s="78">
        <v>1.311</v>
      </c>
      <c r="G8" s="53">
        <v>32</v>
      </c>
      <c r="H8" s="53"/>
    </row>
    <row r="9" spans="1:8" ht="12.75">
      <c r="A9" s="76" t="s">
        <v>65</v>
      </c>
      <c r="B9" s="61" t="s">
        <v>132</v>
      </c>
      <c r="C9" s="77">
        <v>29</v>
      </c>
      <c r="D9" s="77">
        <v>0.2199</v>
      </c>
      <c r="E9" s="77">
        <v>0.5723</v>
      </c>
      <c r="F9" s="78">
        <v>-2.871</v>
      </c>
      <c r="G9" s="53">
        <v>28</v>
      </c>
      <c r="H9" s="53"/>
    </row>
    <row r="10" spans="1:8" ht="12.75">
      <c r="A10" s="76" t="s">
        <v>136</v>
      </c>
      <c r="B10" s="61" t="s">
        <v>132</v>
      </c>
      <c r="C10" s="77">
        <v>36.11</v>
      </c>
      <c r="D10" s="77">
        <v>4.233</v>
      </c>
      <c r="E10" s="77">
        <v>-2.887</v>
      </c>
      <c r="F10" s="78">
        <v>7.464</v>
      </c>
      <c r="G10" s="53">
        <v>44</v>
      </c>
      <c r="H10" s="53"/>
    </row>
    <row r="11" spans="1:8" ht="12.75">
      <c r="A11" s="76" t="s">
        <v>137</v>
      </c>
      <c r="B11" s="61" t="s">
        <v>132</v>
      </c>
      <c r="C11" s="77">
        <v>28.95</v>
      </c>
      <c r="D11" s="77">
        <v>0.411</v>
      </c>
      <c r="E11" s="77">
        <v>0.3548</v>
      </c>
      <c r="F11" s="78">
        <v>-2.22</v>
      </c>
      <c r="G11" s="53">
        <v>28</v>
      </c>
      <c r="H11" s="53"/>
    </row>
    <row r="12" spans="1:8" ht="12.75">
      <c r="A12" s="76" t="s">
        <v>46</v>
      </c>
      <c r="B12" s="61" t="s">
        <v>132</v>
      </c>
      <c r="C12" s="77">
        <v>28.84</v>
      </c>
      <c r="D12" s="77">
        <v>0.00765</v>
      </c>
      <c r="E12" s="77">
        <v>0.3288</v>
      </c>
      <c r="F12" s="78">
        <v>-0.8698</v>
      </c>
      <c r="G12" s="53">
        <v>2</v>
      </c>
      <c r="H12" s="53"/>
    </row>
    <row r="13" spans="1:8" ht="12.75">
      <c r="A13" s="76" t="s">
        <v>47</v>
      </c>
      <c r="B13" s="61" t="s">
        <v>131</v>
      </c>
      <c r="C13" s="77"/>
      <c r="D13" s="77"/>
      <c r="E13" s="77"/>
      <c r="F13" s="78"/>
      <c r="G13" s="53">
        <v>30</v>
      </c>
      <c r="H13" s="53">
        <v>24.48</v>
      </c>
    </row>
    <row r="14" spans="1:8" ht="13.5" thickBot="1">
      <c r="A14" s="68"/>
      <c r="B14" s="79" t="s">
        <v>132</v>
      </c>
      <c r="C14" s="80">
        <v>34.28</v>
      </c>
      <c r="D14" s="80">
        <v>4.268</v>
      </c>
      <c r="E14" s="80">
        <v>0</v>
      </c>
      <c r="F14" s="81">
        <v>-8.694</v>
      </c>
      <c r="G14" s="53"/>
      <c r="H14" s="53"/>
    </row>
    <row r="16" ht="12.75">
      <c r="A16" s="82" t="s">
        <v>138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H59"/>
  <sheetViews>
    <sheetView workbookViewId="0" topLeftCell="A1">
      <selection activeCell="A59" sqref="A59"/>
    </sheetView>
  </sheetViews>
  <sheetFormatPr defaultColWidth="11.421875" defaultRowHeight="12.75"/>
  <cols>
    <col min="1" max="1" width="13.00390625" style="0" customWidth="1"/>
    <col min="3" max="3" width="12.7109375" style="0" customWidth="1"/>
    <col min="5" max="6" width="11.57421875" style="0" bestFit="1" customWidth="1"/>
    <col min="8" max="8" width="11.57421875" style="0" bestFit="1" customWidth="1"/>
  </cols>
  <sheetData>
    <row r="2" spans="1:4" ht="12.75">
      <c r="A2" s="101" t="s">
        <v>96</v>
      </c>
      <c r="B2" s="101"/>
      <c r="C2" s="101"/>
      <c r="D2" s="101"/>
    </row>
    <row r="3" spans="1:4" ht="12.75">
      <c r="A3" s="55" t="s">
        <v>49</v>
      </c>
      <c r="B3" s="55" t="s">
        <v>97</v>
      </c>
      <c r="C3" s="55" t="s">
        <v>50</v>
      </c>
      <c r="D3" s="55" t="s">
        <v>97</v>
      </c>
    </row>
    <row r="4" spans="1:4" ht="12.75">
      <c r="A4" s="4" t="s">
        <v>30</v>
      </c>
      <c r="B4" s="4">
        <v>2541</v>
      </c>
      <c r="C4" s="4" t="s">
        <v>99</v>
      </c>
      <c r="D4" s="4">
        <f>B8</f>
        <v>7941</v>
      </c>
    </row>
    <row r="5" spans="1:4" ht="12.75">
      <c r="A5" s="4" t="s">
        <v>32</v>
      </c>
      <c r="B5" s="4">
        <v>4176</v>
      </c>
      <c r="C5" s="4"/>
      <c r="D5" s="4"/>
    </row>
    <row r="6" spans="1:4" ht="12.75">
      <c r="A6" s="4" t="s">
        <v>31</v>
      </c>
      <c r="B6" s="4">
        <v>807</v>
      </c>
      <c r="C6" s="4"/>
      <c r="D6" s="4"/>
    </row>
    <row r="7" spans="1:4" ht="13.5" thickBot="1">
      <c r="A7" s="1" t="s">
        <v>36</v>
      </c>
      <c r="B7" s="1">
        <v>417</v>
      </c>
      <c r="C7" s="1"/>
      <c r="D7" s="1"/>
    </row>
    <row r="8" spans="1:4" ht="13.5" thickBot="1">
      <c r="A8" s="56" t="s">
        <v>98</v>
      </c>
      <c r="B8" s="56">
        <f>SUM(B4:B7)</f>
        <v>7941</v>
      </c>
      <c r="C8" s="56" t="s">
        <v>98</v>
      </c>
      <c r="D8" s="56">
        <f>D4</f>
        <v>7941</v>
      </c>
    </row>
    <row r="9" ht="13.5" thickTop="1"/>
    <row r="11" spans="1:6" ht="12.75">
      <c r="A11" s="101" t="s">
        <v>100</v>
      </c>
      <c r="B11" s="101"/>
      <c r="C11" s="101"/>
      <c r="D11" s="101"/>
      <c r="E11" s="101"/>
      <c r="F11" s="101"/>
    </row>
    <row r="12" spans="1:6" ht="12.75">
      <c r="A12" s="55" t="s">
        <v>49</v>
      </c>
      <c r="B12" s="55" t="s">
        <v>97</v>
      </c>
      <c r="C12" s="83" t="s">
        <v>140</v>
      </c>
      <c r="D12" s="55" t="s">
        <v>50</v>
      </c>
      <c r="E12" s="55" t="s">
        <v>97</v>
      </c>
      <c r="F12" s="83" t="s">
        <v>140</v>
      </c>
    </row>
    <row r="13" spans="1:6" ht="12.75">
      <c r="A13" s="102" t="s">
        <v>101</v>
      </c>
      <c r="B13" s="102"/>
      <c r="C13" s="102"/>
      <c r="D13" s="102" t="s">
        <v>102</v>
      </c>
      <c r="E13" s="102"/>
      <c r="F13" s="102"/>
    </row>
    <row r="14" spans="1:6" ht="12.75">
      <c r="A14" s="4" t="s">
        <v>30</v>
      </c>
      <c r="B14" s="4">
        <f>Reaktor!B21</f>
        <v>2555</v>
      </c>
      <c r="C14" s="5">
        <f>B14/Reaktor!B14</f>
        <v>79.84375</v>
      </c>
      <c r="D14" s="4" t="s">
        <v>30</v>
      </c>
      <c r="E14" s="11">
        <f>Reaktor!B22</f>
        <v>93.7792207792204</v>
      </c>
      <c r="F14" s="5">
        <f>E14/Reaktor!B14</f>
        <v>2.9306006493506374</v>
      </c>
    </row>
    <row r="15" spans="1:6" ht="12.75">
      <c r="A15" s="4" t="s">
        <v>45</v>
      </c>
      <c r="B15" s="4">
        <f>Reaktor!C21</f>
        <v>973</v>
      </c>
      <c r="C15" s="5">
        <f>B15/Reaktor!C14</f>
        <v>30.40625</v>
      </c>
      <c r="D15" s="4" t="s">
        <v>45</v>
      </c>
      <c r="E15" s="11">
        <f>Reaktor!C22</f>
        <v>0</v>
      </c>
      <c r="F15" s="5">
        <f>E15/Reaktor!C14</f>
        <v>0</v>
      </c>
    </row>
    <row r="16" spans="1:6" ht="12.75">
      <c r="A16" s="4" t="s">
        <v>65</v>
      </c>
      <c r="B16" s="4">
        <f>Reaktor!I21</f>
        <v>3203</v>
      </c>
      <c r="C16" s="5">
        <f>B16/Reaktor!I14</f>
        <v>114.39285714285714</v>
      </c>
      <c r="D16" s="4" t="s">
        <v>65</v>
      </c>
      <c r="E16" s="11">
        <f>Reaktor!I22</f>
        <v>3203</v>
      </c>
      <c r="F16" s="5">
        <f>E16/Reaktor!I14</f>
        <v>114.39285714285714</v>
      </c>
    </row>
    <row r="17" spans="1:6" ht="12.75">
      <c r="A17" s="4" t="s">
        <v>47</v>
      </c>
      <c r="B17" s="4">
        <f>Reaktor!D21</f>
        <v>8</v>
      </c>
      <c r="C17" s="5">
        <f>B17/Reaktor!D14</f>
        <v>0.26666666666666666</v>
      </c>
      <c r="D17" s="4" t="s">
        <v>47</v>
      </c>
      <c r="E17" s="11">
        <f>Reaktor!D22</f>
        <v>2083.8685064935066</v>
      </c>
      <c r="F17" s="5">
        <f>E17/Reaktor!D14</f>
        <v>69.46228354978355</v>
      </c>
    </row>
    <row r="18" spans="1:6" ht="12.75">
      <c r="A18" s="4" t="s">
        <v>48</v>
      </c>
      <c r="B18" s="4">
        <f>Reaktor!E21</f>
        <v>1202</v>
      </c>
      <c r="C18" s="5">
        <f>B18/Reaktor!E14</f>
        <v>66.77777777777777</v>
      </c>
      <c r="D18" s="4" t="s">
        <v>48</v>
      </c>
      <c r="E18" s="11">
        <f>Reaktor!E22</f>
        <v>2185.3522727272725</v>
      </c>
      <c r="F18" s="5">
        <f>E18/Reaktor!E14</f>
        <v>121.40845959595958</v>
      </c>
    </row>
    <row r="19" spans="1:6" ht="12.75">
      <c r="A19" s="4" t="s">
        <v>46</v>
      </c>
      <c r="B19" s="4">
        <v>0</v>
      </c>
      <c r="C19" s="5">
        <f>B19/Reaktor!F14</f>
        <v>0</v>
      </c>
      <c r="D19" s="4" t="s">
        <v>46</v>
      </c>
      <c r="E19" s="11">
        <f>Reaktor!F22</f>
        <v>60</v>
      </c>
      <c r="F19" s="5">
        <f>E19/Reaktor!F14</f>
        <v>30</v>
      </c>
    </row>
    <row r="20" spans="1:6" ht="15.75">
      <c r="A20" s="4" t="s">
        <v>14</v>
      </c>
      <c r="B20" s="4">
        <v>0</v>
      </c>
      <c r="C20" s="5">
        <f>B20/Reaktor!G14</f>
        <v>0</v>
      </c>
      <c r="D20" s="4" t="s">
        <v>14</v>
      </c>
      <c r="E20" s="11">
        <f>Reaktor!G22</f>
        <v>272</v>
      </c>
      <c r="F20" s="5">
        <f>E20/Reaktor!G14</f>
        <v>6.181818181818182</v>
      </c>
    </row>
    <row r="21" spans="1:6" ht="13.5" thickBot="1">
      <c r="A21" s="1" t="s">
        <v>13</v>
      </c>
      <c r="B21" s="1">
        <v>0</v>
      </c>
      <c r="C21" s="8">
        <f>B21/Reaktor!H14</f>
        <v>0</v>
      </c>
      <c r="D21" s="1" t="s">
        <v>13</v>
      </c>
      <c r="E21" s="57">
        <f>Reaktor!H22</f>
        <v>43</v>
      </c>
      <c r="F21" s="8">
        <f>E21/Reaktor!H14</f>
        <v>1.5357142857142858</v>
      </c>
    </row>
    <row r="22" spans="1:6" ht="13.5" thickBot="1">
      <c r="A22" s="56" t="s">
        <v>98</v>
      </c>
      <c r="B22" s="56">
        <f>SUM(B14:B21)</f>
        <v>7941</v>
      </c>
      <c r="C22" s="84">
        <f>SUM(C14:C21)</f>
        <v>291.6873015873016</v>
      </c>
      <c r="D22" s="56" t="s">
        <v>98</v>
      </c>
      <c r="E22" s="56">
        <f>SUM(E14:E21)</f>
        <v>7941</v>
      </c>
      <c r="F22" s="84">
        <f>SUM(F14:F21)</f>
        <v>345.91173340548335</v>
      </c>
    </row>
    <row r="23" ht="13.5" thickTop="1"/>
    <row r="25" spans="1:4" ht="12.75">
      <c r="A25" s="101" t="s">
        <v>103</v>
      </c>
      <c r="B25" s="101"/>
      <c r="C25" s="101"/>
      <c r="D25" s="101"/>
    </row>
    <row r="26" spans="1:4" ht="14.25">
      <c r="A26" s="55" t="s">
        <v>49</v>
      </c>
      <c r="B26" s="55" t="s">
        <v>97</v>
      </c>
      <c r="C26" s="55" t="s">
        <v>110</v>
      </c>
      <c r="D26" s="55" t="s">
        <v>97</v>
      </c>
    </row>
    <row r="27" spans="1:4" ht="12.75">
      <c r="A27" s="4" t="s">
        <v>104</v>
      </c>
      <c r="B27" s="4">
        <f>E22</f>
        <v>7941</v>
      </c>
      <c r="C27" s="4" t="s">
        <v>106</v>
      </c>
      <c r="D27" s="11">
        <f>B44</f>
        <v>3578</v>
      </c>
    </row>
    <row r="28" spans="1:4" ht="12.75">
      <c r="A28" s="4" t="s">
        <v>105</v>
      </c>
      <c r="B28" s="4">
        <v>286</v>
      </c>
      <c r="C28" s="4" t="s">
        <v>107</v>
      </c>
      <c r="D28" s="11">
        <f>D44</f>
        <v>4232</v>
      </c>
    </row>
    <row r="29" spans="1:4" ht="13.5" thickBot="1">
      <c r="A29" s="1"/>
      <c r="B29" s="1"/>
      <c r="C29" s="1" t="s">
        <v>108</v>
      </c>
      <c r="D29" s="1">
        <f>F44</f>
        <v>417</v>
      </c>
    </row>
    <row r="30" spans="1:4" ht="13.5" thickBot="1">
      <c r="A30" s="56" t="s">
        <v>98</v>
      </c>
      <c r="B30" s="56">
        <f>SUM(B27:B29)</f>
        <v>8227</v>
      </c>
      <c r="C30" s="56" t="s">
        <v>98</v>
      </c>
      <c r="D30" s="56">
        <f>SUM(D27:D29)</f>
        <v>8227</v>
      </c>
    </row>
    <row r="31" ht="13.5" thickTop="1">
      <c r="A31" t="s">
        <v>111</v>
      </c>
    </row>
    <row r="33" spans="1:7" ht="12.75">
      <c r="A33" s="101" t="s">
        <v>109</v>
      </c>
      <c r="B33" s="101"/>
      <c r="C33" s="101"/>
      <c r="D33" s="101"/>
      <c r="E33" s="101"/>
      <c r="F33" s="101"/>
      <c r="G33" s="101"/>
    </row>
    <row r="34" spans="1:7" ht="12.75">
      <c r="A34" s="55"/>
      <c r="B34" s="101" t="s">
        <v>106</v>
      </c>
      <c r="C34" s="101"/>
      <c r="D34" s="101" t="s">
        <v>107</v>
      </c>
      <c r="E34" s="101"/>
      <c r="F34" s="101" t="s">
        <v>36</v>
      </c>
      <c r="G34" s="101"/>
    </row>
    <row r="35" spans="1:8" ht="12.75">
      <c r="A35" s="4"/>
      <c r="B35" s="77" t="s">
        <v>21</v>
      </c>
      <c r="C35" s="77" t="s">
        <v>140</v>
      </c>
      <c r="D35" s="77" t="s">
        <v>21</v>
      </c>
      <c r="E35" s="77" t="s">
        <v>140</v>
      </c>
      <c r="F35" s="77" t="s">
        <v>21</v>
      </c>
      <c r="G35" s="77" t="s">
        <v>140</v>
      </c>
      <c r="H35" s="50"/>
    </row>
    <row r="36" spans="1:8" ht="12.75">
      <c r="A36" s="4" t="s">
        <v>30</v>
      </c>
      <c r="B36" s="4">
        <v>0</v>
      </c>
      <c r="C36" s="5">
        <f>B36/Reaktor!B14</f>
        <v>0</v>
      </c>
      <c r="D36" s="11">
        <f>E14-F36</f>
        <v>79.7792207792204</v>
      </c>
      <c r="E36" s="5">
        <f>D36/Reaktor!B14</f>
        <v>2.4931006493506374</v>
      </c>
      <c r="F36" s="4">
        <v>14</v>
      </c>
      <c r="G36" s="5">
        <f>F36/Reaktor!B14</f>
        <v>0.4375</v>
      </c>
      <c r="H36" s="50"/>
    </row>
    <row r="37" spans="1:8" ht="12.75">
      <c r="A37" s="4" t="s">
        <v>45</v>
      </c>
      <c r="B37" s="11">
        <f>E15</f>
        <v>0</v>
      </c>
      <c r="C37" s="5">
        <f>B37/Reaktor!C14</f>
        <v>0</v>
      </c>
      <c r="D37" s="4">
        <v>0</v>
      </c>
      <c r="E37" s="5">
        <f>D37/Reaktor!C14</f>
        <v>0</v>
      </c>
      <c r="F37" s="4">
        <v>0</v>
      </c>
      <c r="G37" s="5">
        <f>F37/Reaktor!C14</f>
        <v>0</v>
      </c>
      <c r="H37" s="50"/>
    </row>
    <row r="38" spans="1:8" ht="12.75">
      <c r="A38" s="4" t="s">
        <v>65</v>
      </c>
      <c r="B38" s="11">
        <f>E16</f>
        <v>3203</v>
      </c>
      <c r="C38" s="5">
        <f>B38/Reaktor!I14</f>
        <v>114.39285714285714</v>
      </c>
      <c r="D38" s="4">
        <v>0</v>
      </c>
      <c r="E38" s="5">
        <f>D38/Reaktor!I14</f>
        <v>0</v>
      </c>
      <c r="F38" s="4">
        <v>0</v>
      </c>
      <c r="G38" s="5">
        <f>F38/Reaktor!I14</f>
        <v>0</v>
      </c>
      <c r="H38" s="50"/>
    </row>
    <row r="39" spans="1:8" ht="12.75">
      <c r="A39" s="4" t="s">
        <v>47</v>
      </c>
      <c r="B39" s="4">
        <v>0</v>
      </c>
      <c r="C39" s="5">
        <f>B39/Reaktor!D14</f>
        <v>0</v>
      </c>
      <c r="D39" s="11">
        <f>E17-F39</f>
        <v>2075.8685064935066</v>
      </c>
      <c r="E39" s="5">
        <f>D39/Reaktor!D14</f>
        <v>69.19561688311688</v>
      </c>
      <c r="F39" s="4">
        <v>8</v>
      </c>
      <c r="G39" s="5">
        <f>F39/Reaktor!D14</f>
        <v>0.26666666666666666</v>
      </c>
      <c r="H39" s="50"/>
    </row>
    <row r="40" spans="1:8" ht="12.75">
      <c r="A40" s="4" t="s">
        <v>48</v>
      </c>
      <c r="B40" s="4">
        <v>0</v>
      </c>
      <c r="C40" s="5">
        <f>B40/Reaktor!E14</f>
        <v>0</v>
      </c>
      <c r="D40" s="11">
        <f>E18+B28-F40</f>
        <v>2076.3522727272725</v>
      </c>
      <c r="E40" s="5">
        <f>D40/Reaktor!E14</f>
        <v>115.35290404040403</v>
      </c>
      <c r="F40" s="4">
        <v>395</v>
      </c>
      <c r="G40" s="5">
        <f>F40/Reaktor!E14</f>
        <v>21.944444444444443</v>
      </c>
      <c r="H40" s="50"/>
    </row>
    <row r="41" spans="1:8" ht="12.75">
      <c r="A41" s="4" t="s">
        <v>46</v>
      </c>
      <c r="B41" s="11">
        <f>E19</f>
        <v>60</v>
      </c>
      <c r="C41" s="5">
        <f>B41/Reaktor!F14</f>
        <v>30</v>
      </c>
      <c r="D41" s="4">
        <v>0</v>
      </c>
      <c r="E41" s="5">
        <f>D41/Reaktor!F14</f>
        <v>0</v>
      </c>
      <c r="F41" s="4">
        <v>0</v>
      </c>
      <c r="G41" s="5">
        <f>F41/Reaktor!F14</f>
        <v>0</v>
      </c>
      <c r="H41" s="50"/>
    </row>
    <row r="42" spans="1:8" ht="15.75">
      <c r="A42" s="4" t="s">
        <v>14</v>
      </c>
      <c r="B42" s="11">
        <f>E20</f>
        <v>272</v>
      </c>
      <c r="C42" s="5">
        <f>B42/Reaktor!G14</f>
        <v>6.181818181818182</v>
      </c>
      <c r="D42" s="4">
        <v>0</v>
      </c>
      <c r="E42" s="5">
        <f>D42/Reaktor!G14</f>
        <v>0</v>
      </c>
      <c r="F42" s="4">
        <v>0</v>
      </c>
      <c r="G42" s="5">
        <f>F42/Reaktor!G14</f>
        <v>0</v>
      </c>
      <c r="H42" s="50"/>
    </row>
    <row r="43" spans="1:8" ht="13.5" thickBot="1">
      <c r="A43" s="1" t="s">
        <v>13</v>
      </c>
      <c r="B43" s="57">
        <f>E21</f>
        <v>43</v>
      </c>
      <c r="C43" s="8">
        <f>B43/Reaktor!H14</f>
        <v>1.5357142857142858</v>
      </c>
      <c r="D43" s="1">
        <v>0</v>
      </c>
      <c r="E43" s="8">
        <f>D43/Reaktor!H14</f>
        <v>0</v>
      </c>
      <c r="F43" s="1">
        <v>0</v>
      </c>
      <c r="G43" s="8">
        <f>F43/Reaktor!H14</f>
        <v>0</v>
      </c>
      <c r="H43" s="50"/>
    </row>
    <row r="44" spans="1:7" ht="13.5" thickBot="1">
      <c r="A44" s="56" t="s">
        <v>98</v>
      </c>
      <c r="B44" s="56">
        <f aca="true" t="shared" si="0" ref="B44:G44">SUM(B36:B43)</f>
        <v>3578</v>
      </c>
      <c r="C44" s="84">
        <f t="shared" si="0"/>
        <v>152.1103896103896</v>
      </c>
      <c r="D44" s="58">
        <f t="shared" si="0"/>
        <v>4232</v>
      </c>
      <c r="E44" s="84">
        <f t="shared" si="0"/>
        <v>187.04162157287155</v>
      </c>
      <c r="F44" s="56">
        <f t="shared" si="0"/>
        <v>417</v>
      </c>
      <c r="G44" s="84">
        <f t="shared" si="0"/>
        <v>22.64861111111111</v>
      </c>
    </row>
    <row r="45" ht="13.5" thickTop="1"/>
    <row r="48" spans="1:6" ht="14.25">
      <c r="A48" s="101" t="s">
        <v>158</v>
      </c>
      <c r="B48" s="101"/>
      <c r="C48" s="101"/>
      <c r="D48" s="101"/>
      <c r="E48" s="101"/>
      <c r="F48" s="101"/>
    </row>
    <row r="49" spans="1:6" ht="12.75">
      <c r="A49" s="55"/>
      <c r="B49" s="55" t="s">
        <v>21</v>
      </c>
      <c r="C49" s="55" t="s">
        <v>140</v>
      </c>
      <c r="D49" s="55"/>
      <c r="E49" s="55" t="s">
        <v>21</v>
      </c>
      <c r="F49" s="55" t="s">
        <v>140</v>
      </c>
    </row>
    <row r="50" spans="1:6" ht="12.75">
      <c r="A50" s="4" t="s">
        <v>141</v>
      </c>
      <c r="B50" s="4"/>
      <c r="C50" s="4"/>
      <c r="D50" s="4" t="s">
        <v>155</v>
      </c>
      <c r="E50" s="4"/>
      <c r="F50" s="4"/>
    </row>
    <row r="51" spans="1:6" ht="12.75">
      <c r="A51" s="4" t="s">
        <v>65</v>
      </c>
      <c r="B51" s="11">
        <f>Forbrenning!B8</f>
        <v>4863.880952380952</v>
      </c>
      <c r="C51" s="5">
        <f>Forbrenning!B9</f>
        <v>173.71003401360545</v>
      </c>
      <c r="D51" s="4" t="s">
        <v>65</v>
      </c>
      <c r="E51" s="11">
        <f>Forbrenning!B13</f>
        <v>4863.880952380952</v>
      </c>
      <c r="F51" s="5">
        <f>Forbrenning!B12</f>
        <v>173.71003401360545</v>
      </c>
    </row>
    <row r="52" spans="1:6" ht="15.75">
      <c r="A52" s="4" t="s">
        <v>14</v>
      </c>
      <c r="B52" s="4">
        <f>Forbrenning!C8</f>
        <v>272</v>
      </c>
      <c r="C52" s="5">
        <f>Forbrenning!C9</f>
        <v>6.181818181818182</v>
      </c>
      <c r="D52" s="4" t="s">
        <v>14</v>
      </c>
      <c r="E52" s="11">
        <f>Forbrenning!C13</f>
        <v>339.57142857142856</v>
      </c>
      <c r="F52" s="5">
        <f>Forbrenning!C12</f>
        <v>7.717532467532467</v>
      </c>
    </row>
    <row r="53" spans="1:6" ht="12.75">
      <c r="A53" s="4" t="s">
        <v>13</v>
      </c>
      <c r="B53" s="4">
        <f>Forbrenning!D8</f>
        <v>43</v>
      </c>
      <c r="C53" s="5">
        <f>Forbrenning!D9</f>
        <v>1.5357142857142858</v>
      </c>
      <c r="D53" s="4" t="s">
        <v>13</v>
      </c>
      <c r="E53" s="11">
        <f>Forbrenning!D13</f>
        <v>0</v>
      </c>
      <c r="F53" s="5">
        <f>Forbrenning!D12</f>
        <v>0</v>
      </c>
    </row>
    <row r="54" spans="1:6" ht="12.75">
      <c r="A54" s="4" t="s">
        <v>46</v>
      </c>
      <c r="B54" s="4">
        <f>Forbrenning!E8</f>
        <v>60</v>
      </c>
      <c r="C54" s="5">
        <f>Forbrenning!E9</f>
        <v>30</v>
      </c>
      <c r="D54" s="4" t="s">
        <v>46</v>
      </c>
      <c r="E54" s="11">
        <f>Forbrenning!E13</f>
        <v>0</v>
      </c>
      <c r="F54" s="5">
        <f>Forbrenning!E12</f>
        <v>0</v>
      </c>
    </row>
    <row r="55" spans="1:6" ht="12.75">
      <c r="A55" s="4" t="s">
        <v>48</v>
      </c>
      <c r="B55" s="4">
        <f>Forbrenning!G8</f>
        <v>0</v>
      </c>
      <c r="C55" s="5">
        <f>Forbrenning!G9</f>
        <v>0</v>
      </c>
      <c r="D55" s="4" t="s">
        <v>48</v>
      </c>
      <c r="E55" s="11">
        <f>Forbrenning!G13</f>
        <v>540</v>
      </c>
      <c r="F55" s="5">
        <f>Forbrenning!G12</f>
        <v>30</v>
      </c>
    </row>
    <row r="56" spans="1:6" ht="15" thickBot="1">
      <c r="A56" s="1" t="s">
        <v>157</v>
      </c>
      <c r="B56" s="57">
        <f>Forbrenning!F8</f>
        <v>504.57142857142856</v>
      </c>
      <c r="C56" s="8">
        <f>Forbrenning!F9</f>
        <v>15.767857142857142</v>
      </c>
      <c r="D56" s="1" t="s">
        <v>157</v>
      </c>
      <c r="E56" s="57">
        <f>Forbrenning!F13</f>
        <v>0</v>
      </c>
      <c r="F56" s="8">
        <f>Forbrenning!F12</f>
        <v>0</v>
      </c>
    </row>
    <row r="57" spans="1:6" ht="13.5" thickBot="1">
      <c r="A57" s="56" t="s">
        <v>156</v>
      </c>
      <c r="B57" s="58">
        <f>SUM(B51:B56)</f>
        <v>5743.452380952381</v>
      </c>
      <c r="C57" s="84">
        <f>SUM(C51:C56)</f>
        <v>227.19542362399505</v>
      </c>
      <c r="D57" s="56" t="s">
        <v>156</v>
      </c>
      <c r="E57" s="58">
        <f>SUM(E51:E56)</f>
        <v>5743.452380952381</v>
      </c>
      <c r="F57" s="84">
        <f>SUM(F51:F56)</f>
        <v>211.42756648113792</v>
      </c>
    </row>
    <row r="58" ht="13.5" thickTop="1">
      <c r="A58" t="s">
        <v>159</v>
      </c>
    </row>
    <row r="59" ht="12.75">
      <c r="A59" t="s">
        <v>170</v>
      </c>
    </row>
  </sheetData>
  <mergeCells count="10">
    <mergeCell ref="A48:F48"/>
    <mergeCell ref="A25:D25"/>
    <mergeCell ref="A2:D2"/>
    <mergeCell ref="A13:C13"/>
    <mergeCell ref="D13:F13"/>
    <mergeCell ref="A11:F11"/>
    <mergeCell ref="B34:C34"/>
    <mergeCell ref="D34:E34"/>
    <mergeCell ref="F34:G34"/>
    <mergeCell ref="A33:G33"/>
  </mergeCells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7"/>
  <sheetViews>
    <sheetView tabSelected="1" workbookViewId="0" topLeftCell="A50">
      <selection activeCell="A67" sqref="A67"/>
    </sheetView>
  </sheetViews>
  <sheetFormatPr defaultColWidth="11.421875" defaultRowHeight="12.75"/>
  <cols>
    <col min="2" max="6" width="11.57421875" style="0" bestFit="1" customWidth="1"/>
  </cols>
  <sheetData>
    <row r="1" ht="20.25">
      <c r="A1" s="86" t="s">
        <v>160</v>
      </c>
    </row>
    <row r="3" spans="1:2" ht="15.75">
      <c r="A3" t="s">
        <v>143</v>
      </c>
      <c r="B3" t="s">
        <v>144</v>
      </c>
    </row>
    <row r="4" spans="1:2" ht="15.75">
      <c r="A4" t="s">
        <v>145</v>
      </c>
      <c r="B4" t="s">
        <v>146</v>
      </c>
    </row>
    <row r="7" spans="1:8" ht="15.75">
      <c r="A7" s="4"/>
      <c r="B7" s="4" t="s">
        <v>65</v>
      </c>
      <c r="C7" s="4" t="s">
        <v>14</v>
      </c>
      <c r="D7" s="4" t="s">
        <v>13</v>
      </c>
      <c r="E7" s="4" t="s">
        <v>46</v>
      </c>
      <c r="F7" s="4" t="s">
        <v>142</v>
      </c>
      <c r="G7" s="4" t="s">
        <v>48</v>
      </c>
      <c r="H7" s="4" t="s">
        <v>154</v>
      </c>
    </row>
    <row r="8" spans="1:8" ht="12.75">
      <c r="A8" s="4" t="s">
        <v>147</v>
      </c>
      <c r="B8" s="11">
        <f>Reaktor!I21+(F9/0.21*0.79)*Reaktor!I14</f>
        <v>4863.880952380952</v>
      </c>
      <c r="C8" s="4">
        <f>Reaktor!F8</f>
        <v>272</v>
      </c>
      <c r="D8" s="4">
        <f>Reaktor!F9</f>
        <v>43</v>
      </c>
      <c r="E8" s="4">
        <f>Reaktor!F7</f>
        <v>60</v>
      </c>
      <c r="F8" s="11">
        <f>-(SUM(F10:F11)*Reaktor!C14)</f>
        <v>504.57142857142856</v>
      </c>
      <c r="G8" s="4">
        <v>0</v>
      </c>
      <c r="H8" s="11">
        <f>SUM(B8:G8)</f>
        <v>5743.452380952381</v>
      </c>
    </row>
    <row r="9" spans="1:8" ht="12.75">
      <c r="A9" s="4" t="s">
        <v>148</v>
      </c>
      <c r="B9" s="5">
        <f>B8/Reaktor!I14</f>
        <v>173.71003401360545</v>
      </c>
      <c r="C9" s="5">
        <f>C8/Reaktor!G14</f>
        <v>6.181818181818182</v>
      </c>
      <c r="D9" s="5">
        <f>D8/Reaktor!H14</f>
        <v>1.5357142857142858</v>
      </c>
      <c r="E9" s="5">
        <f>E8/Reaktor!F14</f>
        <v>30</v>
      </c>
      <c r="F9" s="5">
        <f>F8/Reaktor!C14</f>
        <v>15.767857142857142</v>
      </c>
      <c r="G9" s="5">
        <f>G8/Reaktor!E14</f>
        <v>0</v>
      </c>
      <c r="H9" s="11"/>
    </row>
    <row r="10" spans="1:8" ht="12.75">
      <c r="A10" s="4" t="s">
        <v>149</v>
      </c>
      <c r="B10" s="5">
        <v>0</v>
      </c>
      <c r="C10" s="5">
        <f>-D10</f>
        <v>1.5357142857142858</v>
      </c>
      <c r="D10" s="5">
        <f>-D9</f>
        <v>-1.5357142857142858</v>
      </c>
      <c r="E10" s="5">
        <v>0</v>
      </c>
      <c r="F10" s="5">
        <f>D10/2</f>
        <v>-0.7678571428571429</v>
      </c>
      <c r="G10" s="5">
        <v>0</v>
      </c>
      <c r="H10" s="11"/>
    </row>
    <row r="11" spans="1:8" ht="12.75">
      <c r="A11" s="4" t="s">
        <v>150</v>
      </c>
      <c r="B11" s="5">
        <v>0</v>
      </c>
      <c r="C11" s="5">
        <v>0</v>
      </c>
      <c r="D11" s="5">
        <v>0</v>
      </c>
      <c r="E11" s="5">
        <f>-E9</f>
        <v>-30</v>
      </c>
      <c r="F11" s="5">
        <f>E11/2</f>
        <v>-15</v>
      </c>
      <c r="G11" s="5">
        <f>-E11</f>
        <v>30</v>
      </c>
      <c r="H11" s="11"/>
    </row>
    <row r="12" spans="1:8" ht="12.75">
      <c r="A12" s="4" t="s">
        <v>151</v>
      </c>
      <c r="B12" s="5">
        <f aca="true" t="shared" si="0" ref="B12:G12">SUM(B9:B11)</f>
        <v>173.71003401360545</v>
      </c>
      <c r="C12" s="5">
        <f t="shared" si="0"/>
        <v>7.717532467532467</v>
      </c>
      <c r="D12" s="5">
        <f t="shared" si="0"/>
        <v>0</v>
      </c>
      <c r="E12" s="5">
        <f t="shared" si="0"/>
        <v>0</v>
      </c>
      <c r="F12" s="5">
        <f t="shared" si="0"/>
        <v>0</v>
      </c>
      <c r="G12" s="5">
        <f t="shared" si="0"/>
        <v>30</v>
      </c>
      <c r="H12" s="11"/>
    </row>
    <row r="13" spans="1:8" ht="12.75">
      <c r="A13" s="4" t="s">
        <v>152</v>
      </c>
      <c r="B13" s="11">
        <f>B12*Reaktor!I14</f>
        <v>4863.880952380952</v>
      </c>
      <c r="C13" s="11">
        <f>C12*Reaktor!G14</f>
        <v>339.57142857142856</v>
      </c>
      <c r="D13" s="11">
        <f>D12*Reaktor!H14</f>
        <v>0</v>
      </c>
      <c r="E13" s="11">
        <f>E12*Reaktor!F14</f>
        <v>0</v>
      </c>
      <c r="F13" s="11">
        <f>F12*Reaktor!C14</f>
        <v>0</v>
      </c>
      <c r="G13" s="11">
        <f>G12*Reaktor!E14</f>
        <v>540</v>
      </c>
      <c r="H13" s="11">
        <f>SUM(B13:G13)</f>
        <v>5743.452380952381</v>
      </c>
    </row>
    <row r="14" spans="1:8" ht="12.75">
      <c r="A14" s="4" t="s">
        <v>153</v>
      </c>
      <c r="B14" s="11">
        <f aca="true" t="shared" si="1" ref="B14:G14">B13-B8</f>
        <v>0</v>
      </c>
      <c r="C14" s="11">
        <f t="shared" si="1"/>
        <v>67.57142857142856</v>
      </c>
      <c r="D14" s="11">
        <f t="shared" si="1"/>
        <v>-43</v>
      </c>
      <c r="E14" s="11">
        <f t="shared" si="1"/>
        <v>-60</v>
      </c>
      <c r="F14" s="11">
        <f t="shared" si="1"/>
        <v>-504.57142857142856</v>
      </c>
      <c r="G14" s="11">
        <f t="shared" si="1"/>
        <v>540</v>
      </c>
      <c r="H14" s="4">
        <f>SUM(B14:G14)</f>
        <v>0</v>
      </c>
    </row>
    <row r="16" ht="12.75">
      <c r="A16" t="s">
        <v>166</v>
      </c>
    </row>
    <row r="17" ht="12.75">
      <c r="A17" t="s">
        <v>167</v>
      </c>
    </row>
    <row r="19" ht="20.25">
      <c r="A19" s="86" t="s">
        <v>161</v>
      </c>
    </row>
    <row r="21" ht="12.75">
      <c r="A21" t="s">
        <v>162</v>
      </c>
    </row>
    <row r="22" spans="1:4" ht="14.25">
      <c r="A22" s="4"/>
      <c r="B22" s="89" t="s">
        <v>80</v>
      </c>
      <c r="C22" s="4" t="s">
        <v>78</v>
      </c>
      <c r="D22" s="4" t="s">
        <v>82</v>
      </c>
    </row>
    <row r="23" spans="1:4" ht="12.75">
      <c r="A23" s="4"/>
      <c r="B23" s="4" t="s">
        <v>79</v>
      </c>
      <c r="C23" s="4" t="s">
        <v>81</v>
      </c>
      <c r="D23" s="4" t="s">
        <v>83</v>
      </c>
    </row>
    <row r="24" spans="1:4" ht="12.75">
      <c r="A24" s="4" t="s">
        <v>143</v>
      </c>
      <c r="B24" s="4">
        <v>-282</v>
      </c>
      <c r="C24" s="11">
        <f>B24*1000*D10</f>
        <v>433071.4285714286</v>
      </c>
      <c r="D24" s="11">
        <f>C24/3600</f>
        <v>120.29761904761905</v>
      </c>
    </row>
    <row r="25" spans="1:4" ht="13.5" thickBot="1">
      <c r="A25" s="1" t="s">
        <v>145</v>
      </c>
      <c r="B25" s="1">
        <v>-242</v>
      </c>
      <c r="C25" s="57">
        <f>B25*1000*E11</f>
        <v>7260000</v>
      </c>
      <c r="D25" s="57">
        <f>C25/3600</f>
        <v>2016.6666666666667</v>
      </c>
    </row>
    <row r="26" spans="1:4" ht="12.75">
      <c r="A26" s="6" t="s">
        <v>163</v>
      </c>
      <c r="B26" s="6"/>
      <c r="C26" s="85">
        <f>SUM(C24:C25)</f>
        <v>7693071.428571428</v>
      </c>
      <c r="D26" s="85">
        <f>SUM(D24:D25)</f>
        <v>2136.964285714286</v>
      </c>
    </row>
    <row r="27" spans="1:4" ht="12.75">
      <c r="A27" s="87"/>
      <c r="B27" s="87"/>
      <c r="C27" s="88"/>
      <c r="D27" s="88"/>
    </row>
    <row r="28" spans="3:4" ht="12.75">
      <c r="C28" s="50"/>
      <c r="D28" s="50"/>
    </row>
    <row r="30" spans="1:3" ht="12.75">
      <c r="A30" t="s">
        <v>164</v>
      </c>
      <c r="B30">
        <v>150</v>
      </c>
      <c r="C30" t="s">
        <v>139</v>
      </c>
    </row>
    <row r="31" spans="1:7" ht="12.75">
      <c r="A31" t="s">
        <v>165</v>
      </c>
      <c r="B31">
        <v>25</v>
      </c>
      <c r="C31" t="s">
        <v>139</v>
      </c>
      <c r="G31" t="s">
        <v>168</v>
      </c>
    </row>
    <row r="33" ht="12.75">
      <c r="G33" s="50">
        <f>D26-E42</f>
        <v>1911.0243893467436</v>
      </c>
    </row>
    <row r="34" spans="1:5" ht="15.75">
      <c r="A34" s="4"/>
      <c r="B34" s="77" t="s">
        <v>92</v>
      </c>
      <c r="C34" s="90" t="s">
        <v>93</v>
      </c>
      <c r="D34" s="77" t="s">
        <v>94</v>
      </c>
      <c r="E34" s="77" t="s">
        <v>82</v>
      </c>
    </row>
    <row r="35" spans="1:5" ht="12.75">
      <c r="A35" s="4"/>
      <c r="B35" s="77" t="s">
        <v>91</v>
      </c>
      <c r="C35" s="77" t="s">
        <v>79</v>
      </c>
      <c r="D35" s="77" t="s">
        <v>81</v>
      </c>
      <c r="E35" s="77" t="s">
        <v>83</v>
      </c>
    </row>
    <row r="36" spans="1:5" ht="12.75">
      <c r="A36" s="4" t="s">
        <v>65</v>
      </c>
      <c r="B36" s="11">
        <f>B12</f>
        <v>173.71003401360545</v>
      </c>
      <c r="C36" s="91">
        <f>'Cp-verdier'!C9/10^3*($B$30-$B$31)+'Cp-verdier'!D9/10^5*($B$30^2-$B$31^2)+'Cp-verdier'!E9/10^8*($B$30^3-$B$31^3)</f>
        <v>3.692328828125</v>
      </c>
      <c r="D36" s="11">
        <f aca="true" t="shared" si="2" ref="D36:D41">B36*1000*C36</f>
        <v>641394.5663230097</v>
      </c>
      <c r="E36" s="11">
        <f aca="true" t="shared" si="3" ref="E36:E41">D36/3600</f>
        <v>178.16515731194713</v>
      </c>
    </row>
    <row r="37" spans="1:5" ht="15.75">
      <c r="A37" s="4" t="s">
        <v>14</v>
      </c>
      <c r="B37" s="11">
        <f>C12</f>
        <v>7.717532467532467</v>
      </c>
      <c r="C37" s="91">
        <f>'Cp-verdier'!C10/10^3*($B$30-$B$31)+'Cp-verdier'!D10/10^5*($B$30^2-$B$31^2)+'Cp-verdier'!E10/10^8*($B$30^3-$B$31^3)</f>
        <v>5.34273359375</v>
      </c>
      <c r="D37" s="11">
        <f t="shared" si="2"/>
        <v>41232.71997514205</v>
      </c>
      <c r="E37" s="11">
        <f t="shared" si="3"/>
        <v>11.453533326428348</v>
      </c>
    </row>
    <row r="38" spans="1:5" ht="12.75">
      <c r="A38" s="4" t="s">
        <v>13</v>
      </c>
      <c r="B38" s="11">
        <f>D12</f>
        <v>0</v>
      </c>
      <c r="C38" s="91">
        <f>'Cp-verdier'!C11/10^3*($B$30-$B$31)+'Cp-verdier'!D11/10^5*($B$30^2-$B$31^2)+'Cp-verdier'!E11/10^8*($B$30^3-$B$31^3)</f>
        <v>3.7205753125</v>
      </c>
      <c r="D38" s="11">
        <f t="shared" si="2"/>
        <v>0</v>
      </c>
      <c r="E38" s="11">
        <f t="shared" si="3"/>
        <v>0</v>
      </c>
    </row>
    <row r="39" spans="1:5" ht="12.75">
      <c r="A39" s="4" t="s">
        <v>46</v>
      </c>
      <c r="B39" s="5">
        <f>E12</f>
        <v>0</v>
      </c>
      <c r="C39" s="91">
        <f>'Cp-verdier'!C12/10^3*($B$30-$B$31)+'Cp-verdier'!D12/10^5*($B$30^2-$B$31^2)+'Cp-verdier'!E12/10^8*($B$30^3-$B$31^3)</f>
        <v>3.6177190625</v>
      </c>
      <c r="D39" s="11">
        <f t="shared" si="2"/>
        <v>0</v>
      </c>
      <c r="E39" s="11">
        <f t="shared" si="3"/>
        <v>0</v>
      </c>
    </row>
    <row r="40" spans="1:5" ht="12.75">
      <c r="A40" s="4" t="s">
        <v>48</v>
      </c>
      <c r="B40" s="5">
        <f>G12</f>
        <v>30</v>
      </c>
      <c r="C40" s="91">
        <f>'Cp-verdier'!C6/10^3*($B$30-$B$31)+'Cp-verdier'!D6/10^5*($B$30^2-$B$31^2)+'Cp-verdier'!E6/10^8*($B$30^3-$B$31^3)</f>
        <v>4.3585446875</v>
      </c>
      <c r="D40" s="11">
        <f t="shared" si="2"/>
        <v>130756.34062500001</v>
      </c>
      <c r="E40" s="11">
        <f t="shared" si="3"/>
        <v>36.32120572916667</v>
      </c>
    </row>
    <row r="41" spans="1:5" ht="12.75">
      <c r="A41" s="4" t="s">
        <v>45</v>
      </c>
      <c r="B41" s="5">
        <f>F12</f>
        <v>0</v>
      </c>
      <c r="C41" s="91">
        <f>'Cp-verdier'!C8/10^3*($B$30-$B$31)+'Cp-verdier'!D8/10^5*($B$30^2-$B$31^2)+'Cp-verdier'!E8/10^8*($B$30^3-$B$31^3)</f>
        <v>3.8704009375</v>
      </c>
      <c r="D41" s="11">
        <f t="shared" si="2"/>
        <v>0</v>
      </c>
      <c r="E41" s="11">
        <f t="shared" si="3"/>
        <v>0</v>
      </c>
    </row>
    <row r="42" spans="1:5" ht="12.75">
      <c r="A42" s="4" t="s">
        <v>98</v>
      </c>
      <c r="B42" s="4"/>
      <c r="C42" s="91"/>
      <c r="D42" s="91">
        <f>SUM(D36:D41)</f>
        <v>813383.6269231518</v>
      </c>
      <c r="E42" s="11">
        <f>SUM(E36:E41)</f>
        <v>225.93989636754216</v>
      </c>
    </row>
    <row r="45" ht="12.75">
      <c r="A45" t="s">
        <v>172</v>
      </c>
    </row>
    <row r="47" ht="12.75">
      <c r="A47" t="s">
        <v>173</v>
      </c>
    </row>
    <row r="48" spans="1:3" ht="12.75">
      <c r="A48" t="s">
        <v>175</v>
      </c>
      <c r="B48">
        <v>152</v>
      </c>
      <c r="C48" t="s">
        <v>139</v>
      </c>
    </row>
    <row r="49" spans="1:4" ht="15.75">
      <c r="A49" s="48" t="s">
        <v>174</v>
      </c>
      <c r="B49">
        <v>38.5</v>
      </c>
      <c r="C49" t="s">
        <v>176</v>
      </c>
      <c r="D49" t="s">
        <v>177</v>
      </c>
    </row>
    <row r="50" spans="2:3" ht="12.75">
      <c r="B50" s="50">
        <f>B49*1000/Reaktor!E14</f>
        <v>2138.8888888888887</v>
      </c>
      <c r="C50" t="s">
        <v>180</v>
      </c>
    </row>
    <row r="51" spans="1:3" ht="12.75">
      <c r="A51" t="s">
        <v>178</v>
      </c>
      <c r="B51">
        <v>4.3</v>
      </c>
      <c r="C51" t="s">
        <v>179</v>
      </c>
    </row>
    <row r="52" spans="1:3" ht="12.75">
      <c r="A52" t="s">
        <v>182</v>
      </c>
      <c r="B52">
        <v>20</v>
      </c>
      <c r="C52" t="s">
        <v>139</v>
      </c>
    </row>
    <row r="53" spans="1:3" ht="12.75">
      <c r="A53" t="s">
        <v>183</v>
      </c>
      <c r="B53">
        <v>152</v>
      </c>
      <c r="C53" t="s">
        <v>139</v>
      </c>
    </row>
    <row r="55" ht="12.75">
      <c r="E55" s="51">
        <f>('Cp-verdier'!C6/10^3*($B$53-$B$48)+'Cp-verdier'!E6/10^5*($B$53^2-$B$48^2)+'Cp-verdier'!F6/10^8*($B$53^3-$B$48^3))*1000/Reaktor!E14</f>
        <v>0</v>
      </c>
    </row>
    <row r="56" ht="12.75">
      <c r="A56" t="s">
        <v>181</v>
      </c>
    </row>
    <row r="57" spans="2:3" ht="12.75">
      <c r="B57" s="50">
        <f>G33/((B51*(B48-B52))+B50+('Cp-verdier'!C6/10^3*($B$53-$B$48)+'Cp-verdier'!E6/10^5*($B$53^2-$B$48^2)+'Cp-verdier'!F6/10^8*($B$53^3-$B$48^3))*1000/Reaktor!E14)*3600</f>
        <v>2541.9235341744325</v>
      </c>
      <c r="C57" t="s">
        <v>184</v>
      </c>
    </row>
  </sheetData>
  <printOptions/>
  <pageMargins left="0.75" right="0.75" top="1" bottom="1" header="0.5" footer="0.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5"/>
  <sheetViews>
    <sheetView workbookViewId="0" topLeftCell="A25">
      <selection activeCell="A20" sqref="A20:E30"/>
    </sheetView>
  </sheetViews>
  <sheetFormatPr defaultColWidth="11.421875" defaultRowHeight="12.75"/>
  <cols>
    <col min="4" max="4" width="11.57421875" style="0" bestFit="1" customWidth="1"/>
  </cols>
  <sheetData>
    <row r="1" spans="1:4" ht="12.75">
      <c r="A1" s="103" t="s">
        <v>73</v>
      </c>
      <c r="B1" s="104"/>
      <c r="C1" s="104"/>
      <c r="D1" s="105"/>
    </row>
    <row r="2" spans="1:4" ht="14.25">
      <c r="A2" s="55"/>
      <c r="B2" s="106" t="s">
        <v>80</v>
      </c>
      <c r="C2" s="55" t="s">
        <v>78</v>
      </c>
      <c r="D2" s="55" t="s">
        <v>82</v>
      </c>
    </row>
    <row r="3" spans="1:4" ht="12.75">
      <c r="A3" s="55"/>
      <c r="B3" s="55" t="s">
        <v>79</v>
      </c>
      <c r="C3" s="55" t="s">
        <v>81</v>
      </c>
      <c r="D3" s="55" t="s">
        <v>83</v>
      </c>
    </row>
    <row r="4" spans="1:4" ht="12.75">
      <c r="A4" s="4" t="s">
        <v>74</v>
      </c>
      <c r="B4" s="4">
        <v>-156</v>
      </c>
      <c r="C4" s="11">
        <f>B4*1000*Reaktor!B15</f>
        <v>6114516.233766234</v>
      </c>
      <c r="D4" s="11">
        <f>C4/3600</f>
        <v>1698.4767316017314</v>
      </c>
    </row>
    <row r="5" spans="1:4" ht="12.75">
      <c r="A5" s="4" t="s">
        <v>75</v>
      </c>
      <c r="B5" s="4">
        <v>85</v>
      </c>
      <c r="C5" s="11">
        <f>B5*1000*Reaktor!B16</f>
        <v>-2550000</v>
      </c>
      <c r="D5" s="11">
        <f>C5/3600</f>
        <v>-708.3333333333334</v>
      </c>
    </row>
    <row r="6" spans="1:4" ht="12.75">
      <c r="A6" s="4" t="s">
        <v>76</v>
      </c>
      <c r="B6" s="4">
        <v>-676</v>
      </c>
      <c r="C6" s="11">
        <f>B6*1000*Reaktor!B17</f>
        <v>4178909.090909091</v>
      </c>
      <c r="D6" s="11">
        <f>C6/3600</f>
        <v>1160.8080808080808</v>
      </c>
    </row>
    <row r="7" spans="1:5" ht="13.5" thickBot="1">
      <c r="A7" s="1" t="s">
        <v>77</v>
      </c>
      <c r="B7" s="1">
        <v>-480</v>
      </c>
      <c r="C7" s="57">
        <f>B7*1000*Reaktor!B18</f>
        <v>737142.8571428572</v>
      </c>
      <c r="D7" s="57">
        <f>C7/3600</f>
        <v>204.76190476190476</v>
      </c>
      <c r="E7" s="50"/>
    </row>
    <row r="8" spans="1:4" ht="13.5" thickBot="1">
      <c r="A8" s="56" t="s">
        <v>84</v>
      </c>
      <c r="B8" s="56"/>
      <c r="C8" s="58">
        <f>SUM(C4:C7)</f>
        <v>8480568.181818182</v>
      </c>
      <c r="D8" s="58">
        <f>SUM(D4:D7)</f>
        <v>2355.7133838383834</v>
      </c>
    </row>
    <row r="9" ht="13.5" thickTop="1"/>
    <row r="11" ht="12.75">
      <c r="A11" t="s">
        <v>85</v>
      </c>
    </row>
    <row r="12" spans="6:7" ht="12.75">
      <c r="F12" s="49"/>
      <c r="G12" s="52"/>
    </row>
    <row r="13" spans="1:7" ht="12.75">
      <c r="A13" t="s">
        <v>86</v>
      </c>
      <c r="C13">
        <v>68</v>
      </c>
      <c r="D13" t="s">
        <v>139</v>
      </c>
      <c r="F13" s="49"/>
      <c r="G13" s="51"/>
    </row>
    <row r="14" spans="1:9" ht="12.75">
      <c r="A14" t="s">
        <v>87</v>
      </c>
      <c r="C14" s="50">
        <v>230</v>
      </c>
      <c r="D14" t="s">
        <v>139</v>
      </c>
      <c r="F14" s="49" t="s">
        <v>185</v>
      </c>
      <c r="G14" s="52"/>
      <c r="H14" s="50">
        <v>637.2790561838551</v>
      </c>
      <c r="I14" t="s">
        <v>139</v>
      </c>
    </row>
    <row r="15" spans="6:7" ht="12.75">
      <c r="F15" s="49"/>
      <c r="G15" s="52"/>
    </row>
    <row r="16" spans="1:7" ht="12.75">
      <c r="A16" t="s">
        <v>88</v>
      </c>
      <c r="F16" s="49"/>
      <c r="G16" s="52"/>
    </row>
    <row r="17" spans="6:7" ht="12.75">
      <c r="F17" s="49"/>
      <c r="G17" s="52"/>
    </row>
    <row r="18" spans="6:7" ht="12.75">
      <c r="F18" s="49"/>
      <c r="G18" s="52"/>
    </row>
    <row r="19" ht="12.75">
      <c r="A19" t="s">
        <v>89</v>
      </c>
    </row>
    <row r="20" spans="1:7" ht="15.75">
      <c r="A20" s="55"/>
      <c r="B20" s="83" t="s">
        <v>92</v>
      </c>
      <c r="C20" s="110" t="s">
        <v>93</v>
      </c>
      <c r="D20" s="83" t="s">
        <v>94</v>
      </c>
      <c r="E20" s="83" t="s">
        <v>82</v>
      </c>
      <c r="G20" t="s">
        <v>168</v>
      </c>
    </row>
    <row r="21" spans="1:5" ht="12.75">
      <c r="A21" s="55"/>
      <c r="B21" s="83" t="s">
        <v>91</v>
      </c>
      <c r="C21" s="83" t="s">
        <v>79</v>
      </c>
      <c r="D21" s="83" t="s">
        <v>81</v>
      </c>
      <c r="E21" s="83" t="s">
        <v>83</v>
      </c>
    </row>
    <row r="22" spans="1:7" ht="12.75">
      <c r="A22" s="4" t="s">
        <v>30</v>
      </c>
      <c r="B22" s="107">
        <f>Reaktor!B22/Reaktor!B14</f>
        <v>2.9306006493506374</v>
      </c>
      <c r="C22" s="91">
        <f>'Cp-verdier'!C4/10^3*($C$14-$C$13)+'Cp-verdier'!D4/10^5*($C$14^2-$C$13^2)+'Cp-verdier'!E4/10^8*($C$14^3-$C$13^3)</f>
        <v>10.7404077384</v>
      </c>
      <c r="D22" s="11">
        <f aca="true" t="shared" si="0" ref="D22:D29">B22*1000*C22</f>
        <v>31475.845892445654</v>
      </c>
      <c r="E22" s="11">
        <f aca="true" t="shared" si="1" ref="E22:E29">D22/3600</f>
        <v>8.743290525679349</v>
      </c>
      <c r="G22" s="50">
        <f>D8-E30</f>
        <v>1793.845371506674</v>
      </c>
    </row>
    <row r="23" spans="1:5" ht="12.75">
      <c r="A23" s="4" t="s">
        <v>47</v>
      </c>
      <c r="B23" s="107">
        <f>Reaktor!D22/Reaktor!D14</f>
        <v>69.46228354978355</v>
      </c>
      <c r="C23" s="91">
        <f>'Cp-verdier'!C14/10^3*($C$14-$C$13)+'Cp-verdier'!D14/10^5*($C$14^2-$C$13^2)+'Cp-verdier'!E14/10^8*($C$14^3-$C$13^3)</f>
        <v>7.6137796799999995</v>
      </c>
      <c r="D23" s="11">
        <f t="shared" si="0"/>
        <v>528870.5230177402</v>
      </c>
      <c r="E23" s="11">
        <f t="shared" si="1"/>
        <v>146.90847861603896</v>
      </c>
    </row>
    <row r="24" spans="1:5" ht="12.75">
      <c r="A24" s="4" t="s">
        <v>48</v>
      </c>
      <c r="B24" s="107">
        <f>Reaktor!E22/Reaktor!E14</f>
        <v>121.40845959595958</v>
      </c>
      <c r="C24" s="91">
        <f>'Cp-verdier'!C6/10^3*($C$14-$C$13)+'Cp-verdier'!D6/10^5*($C$14^2-$C$13^2)+'Cp-verdier'!E6/10^8*($C$14^3-$C$13^3)</f>
        <v>5.8427858070720005</v>
      </c>
      <c r="D24" s="11">
        <f t="shared" si="0"/>
        <v>709363.6245857471</v>
      </c>
      <c r="E24" s="11">
        <f t="shared" si="1"/>
        <v>197.04545127381866</v>
      </c>
    </row>
    <row r="25" spans="1:5" ht="15.75">
      <c r="A25" s="4" t="s">
        <v>15</v>
      </c>
      <c r="B25" s="107">
        <f>Reaktor!F22/Reaktor!F14</f>
        <v>30</v>
      </c>
      <c r="C25" s="91">
        <f>'Cp-verdier'!C12/10^3*($C$14-$C$13)+'Cp-verdier'!D12/10^5*($C$14^2-$C$13^2)+'Cp-verdier'!E12/10^8*($C$14^3-$C$13^3)</f>
        <v>4.714744357584</v>
      </c>
      <c r="D25" s="11">
        <f t="shared" si="0"/>
        <v>141442.33072752002</v>
      </c>
      <c r="E25" s="11">
        <f t="shared" si="1"/>
        <v>39.2895363132</v>
      </c>
    </row>
    <row r="26" spans="1:5" ht="15.75">
      <c r="A26" s="4" t="s">
        <v>10</v>
      </c>
      <c r="B26" s="107">
        <f>Reaktor!C22/Reaktor!C14</f>
        <v>0</v>
      </c>
      <c r="C26" s="91">
        <f>'Cp-verdier'!C8/10^3*($C$14-$C$13)+'Cp-verdier'!D8/10^5*($C$14^2-$C$13^2)+'Cp-verdier'!E8/10^8*($C$14^3-$C$13^3)</f>
        <v>5.201219876832</v>
      </c>
      <c r="D26" s="11">
        <f t="shared" si="0"/>
        <v>0</v>
      </c>
      <c r="E26" s="11">
        <f t="shared" si="1"/>
        <v>0</v>
      </c>
    </row>
    <row r="27" spans="1:5" ht="15.75">
      <c r="A27" s="4" t="s">
        <v>90</v>
      </c>
      <c r="B27" s="107">
        <f>Reaktor!I22/Reaktor!I14</f>
        <v>114.39285714285714</v>
      </c>
      <c r="C27" s="91">
        <f>'Cp-verdier'!C9/10^3*($C$14-$C$13)+'Cp-verdier'!D9/10^5*($C$14^2-$C$13^2)+'Cp-verdier'!E9/10^8*($C$14^3-$C$13^3)</f>
        <v>4.871991170664</v>
      </c>
      <c r="D27" s="11">
        <f t="shared" si="0"/>
        <v>557320.9899870283</v>
      </c>
      <c r="E27" s="11">
        <f t="shared" si="1"/>
        <v>154.81138610750787</v>
      </c>
    </row>
    <row r="28" spans="1:5" ht="12.75">
      <c r="A28" s="4" t="s">
        <v>13</v>
      </c>
      <c r="B28" s="107">
        <f>Reaktor!H22/Reaktor!H14</f>
        <v>1.5357142857142858</v>
      </c>
      <c r="C28" s="91">
        <f>'Cp-verdier'!C11/10^3*($C$14-$C$13)+'Cp-verdier'!D11/10^5*($C$14^2-$C$13^2)+'Cp-verdier'!E11/10^8*($C$14^3-$C$13^3)</f>
        <v>4.930367271264</v>
      </c>
      <c r="D28" s="11">
        <f t="shared" si="0"/>
        <v>7571.6354522982865</v>
      </c>
      <c r="E28" s="11">
        <f t="shared" si="1"/>
        <v>2.1032320700828575</v>
      </c>
    </row>
    <row r="29" spans="1:5" ht="16.5" thickBot="1">
      <c r="A29" s="1" t="s">
        <v>14</v>
      </c>
      <c r="B29" s="108">
        <f>Reaktor!G22/Reaktor!G14</f>
        <v>6.181818181818182</v>
      </c>
      <c r="C29" s="109">
        <f>'Cp-verdier'!C10/10^3*($C$14-$C$13)+'Cp-verdier'!D10/10^5*($C$14^2-$C$13^2)+'Cp-verdier'!E10/10^8*($C$14^3-$C$13^3)</f>
        <v>7.551159441839999</v>
      </c>
      <c r="D29" s="57">
        <f t="shared" si="0"/>
        <v>46679.894731374545</v>
      </c>
      <c r="E29" s="57">
        <f t="shared" si="1"/>
        <v>12.966637425381817</v>
      </c>
    </row>
    <row r="30" spans="1:5" ht="13.5" thickBot="1">
      <c r="A30" s="56" t="s">
        <v>95</v>
      </c>
      <c r="B30" s="56"/>
      <c r="C30" s="56"/>
      <c r="D30" s="58">
        <f>SUM(D22:D29)</f>
        <v>2022724.844394154</v>
      </c>
      <c r="E30" s="58">
        <f>SUM(E22:E29)</f>
        <v>561.8680123317096</v>
      </c>
    </row>
    <row r="31" ht="13.5" thickTop="1"/>
    <row r="33" ht="12.75">
      <c r="A33" t="s">
        <v>172</v>
      </c>
    </row>
    <row r="35" ht="12.75">
      <c r="A35" t="s">
        <v>173</v>
      </c>
    </row>
    <row r="36" spans="1:3" ht="12.75">
      <c r="A36" t="s">
        <v>175</v>
      </c>
      <c r="B36">
        <v>152</v>
      </c>
      <c r="C36" t="s">
        <v>139</v>
      </c>
    </row>
    <row r="37" spans="1:4" ht="15.75">
      <c r="A37" s="48" t="s">
        <v>174</v>
      </c>
      <c r="B37">
        <v>38.5</v>
      </c>
      <c r="C37" t="s">
        <v>176</v>
      </c>
      <c r="D37" t="s">
        <v>177</v>
      </c>
    </row>
    <row r="38" spans="2:3" ht="12.75">
      <c r="B38" s="50">
        <f>B37*1000/Reaktor!E14</f>
        <v>2138.8888888888887</v>
      </c>
      <c r="C38" t="s">
        <v>180</v>
      </c>
    </row>
    <row r="39" spans="1:3" ht="12.75">
      <c r="A39" t="s">
        <v>178</v>
      </c>
      <c r="B39">
        <v>4.3</v>
      </c>
      <c r="C39" t="s">
        <v>179</v>
      </c>
    </row>
    <row r="40" spans="1:3" ht="12.75">
      <c r="A40" t="s">
        <v>182</v>
      </c>
      <c r="B40">
        <v>20</v>
      </c>
      <c r="C40" t="s">
        <v>139</v>
      </c>
    </row>
    <row r="41" spans="1:3" ht="12.75">
      <c r="A41" t="s">
        <v>183</v>
      </c>
      <c r="B41">
        <v>152</v>
      </c>
      <c r="C41" t="s">
        <v>139</v>
      </c>
    </row>
    <row r="44" ht="12.75">
      <c r="A44" t="s">
        <v>181</v>
      </c>
    </row>
    <row r="45" spans="2:3" ht="12.75">
      <c r="B45" s="50">
        <f>G22/((B39*(B36-B40))+B38+('Cp-verdier'!C6/10^3*($B$41-$B$36)+'Cp-verdier'!D6/10^5*($B$41^2-$B$36^2)+'Cp-verdier'!E6/10^8*($B$41^3-$B$36^3))*1000/Reaktor!E14)*3600</f>
        <v>2386.0594307021906</v>
      </c>
      <c r="C45" t="s">
        <v>184</v>
      </c>
    </row>
  </sheetData>
  <mergeCells count="1">
    <mergeCell ref="A1:D1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LarsK</dc:creator>
  <cp:keywords/>
  <dc:description/>
  <cp:lastModifiedBy>LarsK</cp:lastModifiedBy>
  <cp:lastPrinted>2001-03-18T14:39:46Z</cp:lastPrinted>
  <dcterms:created xsi:type="dcterms:W3CDTF">2001-01-28T13:33:06Z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