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<sst xmlns="http://schemas.openxmlformats.org/spreadsheetml/2006/main" count="373" uniqueCount="302">
  <si>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</si>
  <si>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</si>
  <si>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</si>
  <si>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</si>
  <si>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</si>
  <si>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</si>
  <si>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</si>
  <si>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</si>
  <si>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</si>
  <si>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</si>
  <si>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</si>
  <si>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</si>
  <si>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</si>
  <si>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</si>
  <si>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</si>
  <si>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</si>
  <si>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</si>
  <si>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</si>
  <si>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</si>
  <si>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</si>
  <si>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</si>
  <si>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</si>
  <si>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</si>
  <si>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</si>
  <si>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R-1</t>
  </si>
  <si>
    <t>SUM</t>
  </si>
  <si>
    <t>US$(2007) to NOK(2016)</t>
  </si>
  <si>
    <t>T_in</t>
  </si>
  <si>
    <t>T_out</t>
  </si>
  <si>
    <t>n_carnot</t>
  </si>
  <si>
    <t>Duty
[kWh=kJ/3600h]</t>
  </si>
  <si>
    <t>Electricty</t>
  </si>
  <si>
    <t>Price</t>
  </si>
  <si>
    <t>Cost</t>
  </si>
  <si>
    <t>KILDE</t>
  </si>
  <si>
    <t>trenger ikke gange med 0,6 på høyetempraturer (FEKS R1)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</si>
  <si>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</si>
  <si>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</si>
  <si>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</si>
  <si>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</si>
  <si>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</si>
  <si>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</si>
  <si>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</si>
  <si>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</si>
  <si>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</si>
  <si>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</si>
  <si>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</si>
  <si>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K-11</t>
  </si>
  <si>
    <t>K-12</t>
  </si>
  <si>
    <t>K-13</t>
  </si>
  <si>
    <t>Index 2016</t>
  </si>
  <si>
    <t>http://www.chemengonline.com/current-economic-trends-march-2016/</t>
  </si>
  <si>
    <t>centrifugal [kW]</t>
  </si>
  <si>
    <t>Duty[kW]</t>
  </si>
  <si>
    <t>omgjøring fra duty til elektrisitet</t>
  </si>
  <si>
    <t>https://en.wikipedia.org/wiki/Energy_conversion_efficiency</t>
  </si>
  <si>
    <t>a</t>
  </si>
  <si>
    <t>Duty[kJ/h]</t>
  </si>
  <si>
    <t>b</t>
  </si>
  <si>
    <t>n</t>
  </si>
  <si>
    <t>C_e</t>
  </si>
  <si>
    <t>Cost[NOK](2016)</t>
  </si>
  <si>
    <t>Cost[US$](2007)</t>
  </si>
  <si>
    <t>Stainless steal 304 factor</t>
  </si>
  <si>
    <t>Reactors</t>
  </si>
  <si>
    <t>void fraction</t>
  </si>
  <si>
    <t>R-2</t>
  </si>
  <si>
    <t>R-3</t>
  </si>
  <si>
    <t>R-4</t>
  </si>
  <si>
    <t>R-5</t>
  </si>
  <si>
    <t>R-6</t>
  </si>
  <si>
    <t>SUM R1</t>
  </si>
  <si>
    <t>tau</t>
  </si>
  <si>
    <t>V_outer</t>
  </si>
  <si>
    <t>V_flow [m^3/s]</t>
  </si>
  <si>
    <t>V_inner</t>
  </si>
  <si>
    <t>Vo [m^3]</t>
  </si>
  <si>
    <t>V_wall</t>
  </si>
  <si>
    <t>Vo_flow</t>
  </si>
  <si>
    <t>Tubes</t>
  </si>
  <si>
    <t>V [m^3]</t>
  </si>
  <si>
    <t>d</t>
  </si>
  <si>
    <t>delta(l)</t>
  </si>
  <si>
    <t>delta(N)</t>
  </si>
  <si>
    <t>t_w</t>
  </si>
  <si>
    <t>Ratio V1_flow electrolysis vs standard case</t>
  </si>
  <si>
    <t>delta(l_100%)</t>
  </si>
  <si>
    <t>delta(N_min)</t>
  </si>
  <si>
    <t>l</t>
  </si>
  <si>
    <t>delta(l)/delta(l_100%)</t>
  </si>
  <si>
    <t>V_all_tubes</t>
  </si>
  <si>
    <t xml:space="preserve">delta(d) </t>
  </si>
  <si>
    <t>fm(Ni Inconel)/fm(ss)</t>
  </si>
  <si>
    <t>Cost R1[US$](2007)</t>
  </si>
  <si>
    <t>delta(t_w)</t>
  </si>
  <si>
    <t>Cost u/R1[NOK](2016)</t>
  </si>
  <si>
    <t>Cost u/R1
[US$](2007)</t>
  </si>
  <si>
    <t>delta(d_min)</t>
  </si>
  <si>
    <t>fm(ss)/fm(Ni Inconel)</t>
  </si>
  <si>
    <t>delta(t_w_min)</t>
  </si>
  <si>
    <t>Exchangers</t>
  </si>
  <si>
    <t>U
[W/m^2K]</t>
  </si>
  <si>
    <t>Q
[W]</t>
  </si>
  <si>
    <t>DelT</t>
  </si>
  <si>
    <t>Shell and tube [m^2]</t>
  </si>
  <si>
    <t>Stainless steel factor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</si>
  <si>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</si>
  <si>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</si>
  <si>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</si>
  <si>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</si>
  <si>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</si>
  <si>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</si>
  <si>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</si>
  <si>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</si>
  <si>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</si>
  <si>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</si>
  <si>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</si>
  <si>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</si>
  <si>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</si>
  <si>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Dv [m]</t>
  </si>
  <si>
    <t>Dv(ft round up)</t>
  </si>
  <si>
    <t>NY Dv [m]</t>
  </si>
  <si>
    <t>V_L [m^3/s]</t>
  </si>
  <si>
    <t>Hold up time [s]</t>
  </si>
  <si>
    <t>Volume held in vessel [m^3]</t>
  </si>
  <si>
    <t>h_v</t>
  </si>
  <si>
    <t>h_tot</t>
  </si>
  <si>
    <t>P_operating</t>
  </si>
  <si>
    <t>P_design [N/m^2]</t>
  </si>
  <si>
    <t>SE (shear stress SS 304)</t>
  </si>
  <si>
    <t xml:space="preserve">t_w </t>
  </si>
  <si>
    <t>rho (stainless steel 304)</t>
  </si>
  <si>
    <t>Shellmass</t>
  </si>
  <si>
    <t>C_e [$  USGC 2007]</t>
  </si>
  <si>
    <t>Absorber</t>
  </si>
  <si>
    <t>C-1</t>
  </si>
  <si>
    <t>C-2</t>
  </si>
  <si>
    <t>C-3</t>
  </si>
  <si>
    <t>C-4</t>
  </si>
  <si>
    <t>sievetrays</t>
  </si>
  <si>
    <t>diameter [m]</t>
  </si>
  <si>
    <t>ASSUMED</t>
  </si>
  <si>
    <t>C_e [$ 2007]</t>
  </si>
  <si>
    <t>Installation factor</t>
  </si>
  <si>
    <t>(Sjekk verdi)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</si>
  <si>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</si>
  <si>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</si>
  <si>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</si>
  <si>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</si>
  <si>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</si>
  <si>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</si>
  <si>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</si>
  <si>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</si>
  <si>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</si>
  <si>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PUMPS</t>
  </si>
  <si>
    <t>P-1</t>
  </si>
  <si>
    <t>P-2</t>
  </si>
  <si>
    <t>P-3</t>
  </si>
  <si>
    <t>P-4</t>
  </si>
  <si>
    <t>single-stage sentrifugal, flow [L/s]</t>
  </si>
  <si>
    <t>Methane recycle costs</t>
  </si>
  <si>
    <t>f_m(Ni Inconel)</t>
  </si>
  <si>
    <t>f_m(ss)</t>
  </si>
  <si>
    <t>C_e [$]</t>
  </si>
  <si>
    <t>f_er</t>
  </si>
  <si>
    <t>Mol CH4 [mol/h]</t>
  </si>
  <si>
    <t>fra hysys</t>
  </si>
  <si>
    <t>Explosion proof motor, power [kW]</t>
  </si>
  <si>
    <t>f_p</t>
  </si>
  <si>
    <t>Mol H2 [mol/h]</t>
  </si>
  <si>
    <t>f_i</t>
  </si>
  <si>
    <t>dHrx(H2) (kWh/mol H2)</t>
  </si>
  <si>
    <t>f_el</t>
  </si>
  <si>
    <t>dHrx(CH4) (kWh/mol CH4)</t>
  </si>
  <si>
    <t>f_c</t>
  </si>
  <si>
    <t>Duty R1 [kWh/h] heat energy</t>
  </si>
  <si>
    <t>f_s</t>
  </si>
  <si>
    <t>Energy from CH4 purge [kJ/h = 1/3600 kWh/h]</t>
  </si>
  <si>
    <t>f_l</t>
  </si>
  <si>
    <t>Energy from H2 purge [kJ/h = 1/3600 kWh/h]</t>
  </si>
  <si>
    <t>OS</t>
  </si>
  <si>
    <t>Required energy from Methane [kWh/h]</t>
  </si>
  <si>
    <t>D&amp;E</t>
  </si>
  <si>
    <t xml:space="preserve">n_CH4 [mol/h] </t>
  </si>
  <si>
    <t>X</t>
  </si>
  <si>
    <t>n_O2 [mol/h]</t>
  </si>
  <si>
    <t>beregnet mengde o2 som trengs</t>
  </si>
  <si>
    <t>C_ei_A</t>
  </si>
  <si>
    <t>Mengde luft [mol/h]</t>
  </si>
  <si>
    <t>C u/R1</t>
  </si>
  <si>
    <t>n_N2 [mol/h]</t>
  </si>
  <si>
    <t>Røykgass består av N2,Ar,CO2,H20</t>
  </si>
  <si>
    <t>C R1</t>
  </si>
  <si>
    <t>n_Ar [mol/h]</t>
  </si>
  <si>
    <t>C</t>
  </si>
  <si>
    <t>ISBL</t>
  </si>
  <si>
    <t>n_CO2 [mol/h]</t>
  </si>
  <si>
    <t>Tot cap cost(2007)</t>
  </si>
  <si>
    <t>n_H20 [mol/h]</t>
  </si>
  <si>
    <t>n_tot_fluegas [mol/h]</t>
  </si>
  <si>
    <t>C_exergy(2007)</t>
  </si>
  <si>
    <t>x_N2</t>
  </si>
  <si>
    <t>C_cap(2016)</t>
  </si>
  <si>
    <t>x_Ar</t>
  </si>
  <si>
    <t>C_tot(2016)</t>
  </si>
  <si>
    <t>x_CO2</t>
  </si>
  <si>
    <t>x_H2O</t>
  </si>
  <si>
    <t>Cp_N2 [J/K*mol]</t>
  </si>
  <si>
    <t>Har funnet Cp for tempratur mellom Tinn=760 og Tut=220</t>
  </si>
  <si>
    <t>Energy extra from R1[kWh]</t>
  </si>
  <si>
    <t>tull</t>
  </si>
  <si>
    <t>Cp_Ar [J/K*mol]</t>
  </si>
  <si>
    <t>Cost of extra energy R1 [NOK/h]</t>
  </si>
  <si>
    <t>Cp_CO2 [J/K*mol]</t>
  </si>
  <si>
    <t>Price for extra methane [NOK/h]</t>
  </si>
  <si>
    <t>Cp_H20 [J/K*mol]</t>
  </si>
  <si>
    <t>Cost of Feed Naturgas [kg/h]</t>
  </si>
  <si>
    <t>Cp_avg [kWh/K*mol]</t>
  </si>
  <si>
    <t>Cost of Feed Naturgas [NOK/h]</t>
  </si>
  <si>
    <t>E=nCPdT [kWh]</t>
  </si>
  <si>
    <t xml:space="preserve">energien fluegas </t>
  </si>
  <si>
    <t>Amount of Product NH3 [kg/h]</t>
  </si>
  <si>
    <t>Electricty [kWh/h]</t>
  </si>
  <si>
    <t>Cost Product</t>
  </si>
  <si>
    <t>kg(CH4)/h excess</t>
  </si>
  <si>
    <t>Cost steam[NOK/h]</t>
  </si>
  <si>
    <t>Electricity price[NOK/kWh]</t>
  </si>
  <si>
    <t>Cost of CH4 [kJ/h]</t>
  </si>
  <si>
    <t>electricity price</t>
  </si>
  <si>
    <t>Natural Gas Price (NOK / Million Metric British Thermal Unit)</t>
  </si>
  <si>
    <t>per 2016 sept</t>
  </si>
  <si>
    <t>Steam production cost calculation</t>
  </si>
  <si>
    <t>price CH4</t>
  </si>
  <si>
    <t>1 BTU</t>
  </si>
  <si>
    <t>GJ</t>
  </si>
  <si>
    <t>Molar flow steam[kmol/h]
</t>
  </si>
  <si>
    <t>feed [kg/h]</t>
  </si>
  <si>
    <t>Molar mass H2O[kg/kmol]</t>
  </si>
  <si>
    <t>dHrx_CH4 [kJ/kmol]</t>
  </si>
  <si>
    <t>Mass flow steam[ton/h]
</t>
  </si>
  <si>
    <t>Working capital?</t>
  </si>
  <si>
    <t>price natural gas [NOK/GJ]</t>
  </si>
  <si>
    <t>Price MP steam[£/ton]
</t>
  </si>
  <si>
    <t>salary operators</t>
  </si>
  <si>
    <t>Mm_CH4 [kg/kmol]</t>
  </si>
  <si>
    <t>NOK/£(13:37 15.11.2016)</t>
  </si>
  <si>
    <t>supervision</t>
  </si>
  <si>
    <t>føde [kmol/h]</t>
  </si>
  <si>
    <t>Cost of producing steam[NOK/h]</t>
  </si>
  <si>
    <t>direct salary overhead</t>
  </si>
  <si>
    <t>feed [kJ/h]</t>
  </si>
  <si>
    <t>cost CH4 [NOK/year]</t>
  </si>
  <si>
    <t>Fixed cost of production</t>
  </si>
  <si>
    <t>feed [GJ/h]</t>
  </si>
  <si>
    <t>cost of steam [NOK/year]</t>
  </si>
  <si>
    <t>Variable costs of production</t>
  </si>
  <si>
    <t>Price CH4 [NOK/h]</t>
  </si>
  <si>
    <t>compressor costs</t>
  </si>
  <si>
    <t>cost of extra O2[NOK/year]</t>
  </si>
  <si>
    <t>Rent of land</t>
  </si>
  <si>
    <t>assuming we buy the land so the cost is recovered at the end of the projects life</t>
  </si>
  <si>
    <t xml:space="preserve">Compressor costs </t>
  </si>
  <si>
    <t>property tax and insurance</t>
  </si>
  <si>
    <t>3% of ISBL</t>
  </si>
  <si>
    <t>total duty [kW] = [kWh/h]</t>
  </si>
  <si>
    <t>SUM [NOK/h]</t>
  </si>
  <si>
    <t>Cost [NOK/h]</t>
  </si>
  <si>
    <t>annual sale income [NOK/year]</t>
  </si>
  <si>
    <t>product</t>
  </si>
  <si>
    <t>exergy</t>
  </si>
  <si>
    <t>Cost of extra oxygen</t>
  </si>
  <si>
    <t>kWh/Nm^3(H2)</t>
  </si>
  <si>
    <t>sum</t>
  </si>
  <si>
    <t>Nm^3(H2)/kmol(H2)</t>
  </si>
  <si>
    <t>kmol(H2)/kmol(O2)</t>
  </si>
  <si>
    <t>annual service expences</t>
  </si>
  <si>
    <t>n_O2 [kmol/h]</t>
  </si>
  <si>
    <t>maintenance</t>
  </si>
  <si>
    <t>1% of ISBL</t>
  </si>
  <si>
    <t>NOK/kWh</t>
  </si>
  <si>
    <t>Cost of extra oxygen [NOK/H]</t>
  </si>
  <si>
    <t>Working capital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</si>
  <si>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</si>
  <si>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</si>
  <si>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</si>
  <si>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</si>
  <si>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</si>
  <si>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product [NOK/year]</t>
  </si>
  <si>
    <t>variable</t>
  </si>
  <si>
    <t>exergy [NOK/year]</t>
  </si>
  <si>
    <t>fixed</t>
  </si>
  <si>
    <t>40-60% av operating labour+supervision</t>
  </si>
  <si>
    <t>cost extra o2</t>
  </si>
  <si>
    <t>eiendomsskatt</t>
  </si>
  <si>
    <t>3-5%ISBL</t>
  </si>
  <si>
    <t>vedlikehold</t>
  </si>
  <si>
    <t>1-2%ISBL fixed cap</t>
  </si>
  <si>
    <t>Annual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</si>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</sst>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2.0"/>
      <color rgb="FF000000"/>
      <name val="Calibri"/>
    </font>
    <font>
      <b/>
      <sz val="12.0"/>
      <color rgb="FF000000"/>
      <name val="Calibri"/>
    </font>
    <font/>
    <font>
      <color rgb="FF000000"/>
      <name val="Calibri"/>
    </font>
    <font>
      <sz val="11.0"/>
      <color rgb="FF000000"/>
      <name val="Inconsolata"/>
    </font>
    <font>
      <color rgb="FF000000"/>
      <name val="Arial"/>
    </font>
    <font>
      <sz val="11.0"/>
      <color rgb="FF000000"/>
      <name val="Calibri"/>
    </font>
    <font>
      <u/>
      <sz val="12.0"/>
      <color rgb="FF000000"/>
      <name val="Calibri"/>
    </font>
    <font>
      <name val="Calibri"/>
    </font>
    <font>
      <u/>
      <sz val="12.0"/>
      <color rgb="FF000000"/>
      <name val="Calibri"/>
    </font>
    <font>
      <b/>
    </font>
    <font>
      <u/>
      <sz val="12.0"/>
      <color rgb="FF000000"/>
      <name val="Calibri"/>
    </font>
    <font>
      <name val="Arial"/>
    </font>
    <font>
      <u/>
      <sz val="12.0"/>
      <color rgb="FF000000"/>
      <name val="Calibri"/>
    </font>
    <font>
      <b/>
      <sz val="11.0"/>
      <color rgb="FF000000"/>
      <name val="Inconsolata"/>
    </font>
    <font>
      <b/>
      <sz val="11.0"/>
      <color rgb="FF333333"/>
      <name val="Helvetica Neue"/>
    </font>
    <font>
      <sz val="11.0"/>
      <color rgb="FF333333"/>
      <name val="Helvetica Neue"/>
    </font>
    <font>
      <sz val="12.0"/>
      <name val="Calibri"/>
    </font>
    <font>
      <u/>
      <sz val="12.0"/>
      <name val="Calibri"/>
    </font>
    <font>
      <color rgb="FFFFFFFF"/>
      <name val="Calibri"/>
    </font>
    <font>
      <sz val="11.0"/>
      <name val="Inconsolata"/>
    </font>
    <font>
      <sz val="11.0"/>
      <color rgb="FFF7981D"/>
      <name val="Inconsolata"/>
    </font>
  </fonts>
  <fills count="16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DD7E6B"/>
        <bgColor rgb="FFDD7E6B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  <fill>
      <patternFill patternType="solid">
        <fgColor rgb="FF0000FF"/>
        <bgColor rgb="FF0000FF"/>
      </patternFill>
    </fill>
  </fills>
  <borders count="9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2" fontId="0" numFmtId="0" xfId="0" applyFill="1" applyFont="1"/>
    <xf borderId="0" fillId="2" fontId="2" numFmtId="0" xfId="0" applyFont="1"/>
    <xf borderId="0" fillId="3" fontId="2" numFmtId="0" xfId="0" applyAlignment="1" applyFill="1" applyFont="1">
      <alignment/>
    </xf>
    <xf borderId="0" fillId="4" fontId="3" numFmtId="0" xfId="0" applyAlignment="1" applyBorder="1" applyFill="1" applyFont="1">
      <alignment/>
    </xf>
    <xf borderId="0" fillId="5" fontId="0" numFmtId="0" xfId="0" applyBorder="1" applyFill="1" applyFont="1"/>
    <xf borderId="0" fillId="0" fontId="0" numFmtId="0" xfId="0" applyAlignment="1" applyBorder="1" applyFont="1">
      <alignment/>
    </xf>
    <xf borderId="0" fillId="0" fontId="2" numFmtId="0" xfId="0" applyAlignment="1" applyFont="1">
      <alignment/>
    </xf>
    <xf borderId="0" fillId="0" fontId="0" numFmtId="0" xfId="0" applyBorder="1" applyFont="1"/>
    <xf borderId="0" fillId="4" fontId="4" numFmtId="0" xfId="0" applyAlignment="1" applyFont="1">
      <alignment horizontal="right"/>
    </xf>
    <xf borderId="0" fillId="6" fontId="0" numFmtId="0" xfId="0" applyBorder="1" applyFill="1" applyFont="1"/>
    <xf borderId="0" fillId="7" fontId="5" numFmtId="0" xfId="0" applyAlignment="1" applyFill="1" applyFont="1">
      <alignment/>
    </xf>
    <xf borderId="0" fillId="6" fontId="0" numFmtId="0" xfId="0" applyAlignment="1" applyBorder="1" applyFont="1">
      <alignment/>
    </xf>
    <xf borderId="0" fillId="7" fontId="4" numFmtId="0" xfId="0" applyFont="1"/>
    <xf borderId="0" fillId="0" fontId="0" numFmtId="0" xfId="0" applyAlignment="1" applyFont="1">
      <alignment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8" fontId="2" numFmtId="0" xfId="0" applyFill="1" applyFont="1"/>
    <xf borderId="1" fillId="8" fontId="0" numFmtId="0" xfId="0" applyAlignment="1" applyBorder="1" applyFont="1">
      <alignment/>
    </xf>
    <xf borderId="1" fillId="0" fontId="0" numFmtId="0" xfId="0" applyBorder="1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2" numFmtId="0" xfId="0" applyAlignment="1" applyBorder="1" applyFont="1">
      <alignment/>
    </xf>
    <xf borderId="0" fillId="0" fontId="7" numFmtId="0" xfId="0" applyFont="1"/>
    <xf borderId="0" fillId="0" fontId="0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8" fontId="2" numFmtId="0" xfId="0" applyAlignment="1" applyFont="1">
      <alignment/>
    </xf>
    <xf borderId="0" fillId="9" fontId="0" numFmtId="0" xfId="0" applyAlignment="1" applyFill="1" applyFont="1">
      <alignment/>
    </xf>
    <xf borderId="0" fillId="9" fontId="2" numFmtId="0" xfId="0" applyFont="1"/>
    <xf borderId="1" fillId="0" fontId="0" numFmtId="0" xfId="0" applyAlignment="1" applyBorder="1" applyFont="1">
      <alignment/>
    </xf>
    <xf borderId="1" fillId="0" fontId="2" numFmtId="0" xfId="0" applyAlignment="1" applyBorder="1" applyFont="1">
      <alignment/>
    </xf>
    <xf borderId="5" fillId="0" fontId="2" numFmtId="0" xfId="0" applyBorder="1" applyFont="1"/>
    <xf borderId="6" fillId="0" fontId="2" numFmtId="0" xfId="0" applyBorder="1" applyFont="1"/>
    <xf borderId="4" fillId="0" fontId="2" numFmtId="0" xfId="0" applyBorder="1" applyFont="1"/>
    <xf borderId="7" fillId="0" fontId="0" numFmtId="0" xfId="0" applyAlignment="1" applyBorder="1" applyFont="1">
      <alignment/>
    </xf>
    <xf borderId="6" fillId="0" fontId="0" numFmtId="0" xfId="0" applyAlignment="1" applyBorder="1" applyFont="1">
      <alignment/>
    </xf>
    <xf borderId="0" fillId="0" fontId="0" numFmtId="0" xfId="0" applyAlignment="1" applyFont="1">
      <alignment/>
    </xf>
    <xf borderId="0" fillId="0" fontId="8" numFmtId="0" xfId="0" applyAlignment="1" applyFont="1">
      <alignment/>
    </xf>
    <xf borderId="0" fillId="0" fontId="0" numFmtId="0" xfId="0" applyAlignment="1" applyFont="1">
      <alignment horizontal="right"/>
    </xf>
    <xf borderId="0" fillId="0" fontId="0" numFmtId="0" xfId="0" applyAlignment="1" applyFont="1">
      <alignment/>
    </xf>
    <xf borderId="0" fillId="0" fontId="9" numFmtId="0" xfId="0" applyAlignment="1" applyFont="1">
      <alignment/>
    </xf>
    <xf borderId="0" fillId="0" fontId="8" numFmtId="0" xfId="0" applyAlignment="1" applyFont="1">
      <alignment horizontal="right"/>
    </xf>
    <xf borderId="0" fillId="0" fontId="8" numFmtId="0" xfId="0" applyAlignment="1" applyFont="1">
      <alignment/>
    </xf>
    <xf borderId="0" fillId="7" fontId="0" numFmtId="0" xfId="0" applyAlignment="1" applyFont="1">
      <alignment/>
    </xf>
    <xf borderId="1" fillId="7" fontId="0" numFmtId="0" xfId="0" applyAlignment="1" applyBorder="1" applyFont="1">
      <alignment/>
    </xf>
    <xf borderId="1" fillId="0" fontId="0" numFmtId="0" xfId="0" applyAlignment="1" applyBorder="1" applyFont="1">
      <alignment/>
    </xf>
    <xf borderId="1" fillId="9" fontId="0" numFmtId="0" xfId="0" applyAlignment="1" applyBorder="1" applyFont="1">
      <alignment/>
    </xf>
    <xf borderId="0" fillId="9" fontId="2" numFmtId="0" xfId="0" applyAlignment="1" applyFont="1">
      <alignment/>
    </xf>
    <xf borderId="0" fillId="9" fontId="0" numFmtId="0" xfId="0" applyAlignment="1" applyFont="1">
      <alignment/>
    </xf>
    <xf borderId="1" fillId="0" fontId="0" numFmtId="0" xfId="0" applyAlignment="1" applyBorder="1" applyFont="1">
      <alignment/>
    </xf>
    <xf borderId="5" fillId="0" fontId="0" numFmtId="0" xfId="0" applyBorder="1" applyFont="1"/>
    <xf borderId="6" fillId="0" fontId="0" numFmtId="0" xfId="0" applyBorder="1" applyFont="1"/>
    <xf borderId="0" fillId="0" fontId="10" numFmtId="0" xfId="0" applyAlignment="1" applyFont="1">
      <alignment/>
    </xf>
    <xf borderId="5" fillId="0" fontId="0" numFmtId="0" xfId="0" applyBorder="1" applyFont="1"/>
    <xf borderId="0" fillId="0" fontId="0" numFmtId="0" xfId="0" applyAlignment="1" applyFont="1">
      <alignment/>
    </xf>
    <xf borderId="0" fillId="0" fontId="0" numFmtId="0" xfId="0" applyAlignment="1" applyFont="1">
      <alignment horizontal="right"/>
    </xf>
    <xf borderId="0" fillId="8" fontId="11" numFmtId="0" xfId="0" applyAlignment="1" applyFont="1">
      <alignment/>
    </xf>
    <xf borderId="0" fillId="0" fontId="8" numFmtId="0" xfId="0" applyAlignment="1" applyFont="1">
      <alignment/>
    </xf>
    <xf borderId="0" fillId="7" fontId="4" numFmtId="0" xfId="0" applyAlignment="1" applyFont="1">
      <alignment/>
    </xf>
    <xf borderId="0" fillId="0" fontId="0" numFmtId="0" xfId="0" applyAlignment="1" applyFont="1">
      <alignment/>
    </xf>
    <xf borderId="0" fillId="0" fontId="0" numFmtId="0" xfId="0" applyAlignment="1" applyFont="1">
      <alignment/>
    </xf>
    <xf borderId="0" fillId="8" fontId="0" numFmtId="0" xfId="0" applyAlignment="1" applyFont="1">
      <alignment/>
    </xf>
    <xf borderId="1" fillId="0" fontId="8" numFmtId="0" xfId="0" applyAlignment="1" applyBorder="1" applyFont="1">
      <alignment/>
    </xf>
    <xf borderId="0" fillId="0" fontId="12" numFmtId="0" xfId="0" applyAlignment="1" applyFont="1">
      <alignment/>
    </xf>
    <xf borderId="0" fillId="10" fontId="0" numFmtId="0" xfId="0" applyAlignment="1" applyFill="1" applyFont="1">
      <alignment/>
    </xf>
    <xf borderId="0" fillId="0" fontId="4" numFmtId="0" xfId="0" applyAlignment="1" applyFont="1">
      <alignment horizontal="right"/>
    </xf>
    <xf borderId="0" fillId="0" fontId="8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0" fontId="4" numFmtId="0" xfId="0" applyAlignment="1" applyFont="1">
      <alignment/>
    </xf>
    <xf borderId="0" fillId="9" fontId="8" numFmtId="0" xfId="0" applyAlignment="1" applyFont="1">
      <alignment/>
    </xf>
    <xf borderId="0" fillId="9" fontId="8" numFmtId="0" xfId="0" applyAlignment="1" applyFont="1">
      <alignment horizontal="right"/>
    </xf>
    <xf borderId="0" fillId="0" fontId="1" numFmtId="0" xfId="0" applyAlignment="1" applyFont="1">
      <alignment/>
    </xf>
    <xf borderId="0" fillId="0" fontId="0" numFmtId="0" xfId="0" applyAlignment="1" applyFont="1">
      <alignment horizontal="right"/>
    </xf>
    <xf borderId="0" fillId="0" fontId="13" numFmtId="0" xfId="0" applyAlignment="1" applyFont="1">
      <alignment/>
    </xf>
    <xf borderId="0" fillId="0" fontId="1" numFmtId="0" xfId="0" applyAlignment="1" applyFont="1">
      <alignment/>
    </xf>
    <xf borderId="0" fillId="7" fontId="14" numFmtId="0" xfId="0" applyFont="1"/>
    <xf borderId="0" fillId="11" fontId="15" numFmtId="0" xfId="0" applyAlignment="1" applyFill="1" applyFont="1">
      <alignment horizontal="left"/>
    </xf>
    <xf borderId="0" fillId="12" fontId="16" numFmtId="0" xfId="0" applyAlignment="1" applyFill="1" applyFont="1">
      <alignment horizontal="right"/>
    </xf>
    <xf borderId="0" fillId="13" fontId="12" numFmtId="0" xfId="0" applyAlignment="1" applyFill="1" applyFont="1">
      <alignment/>
    </xf>
    <xf borderId="0" fillId="0" fontId="12" numFmtId="0" xfId="0" applyAlignment="1" applyFont="1">
      <alignment/>
    </xf>
    <xf borderId="0" fillId="0" fontId="12" numFmtId="0" xfId="0" applyAlignment="1" applyFont="1">
      <alignment horizontal="right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/>
    </xf>
    <xf borderId="0" fillId="0" fontId="8" numFmtId="0" xfId="0" applyAlignment="1" applyFont="1">
      <alignment horizontal="right"/>
    </xf>
    <xf borderId="0" fillId="10" fontId="0" numFmtId="0" xfId="0" applyAlignment="1" applyFont="1">
      <alignment/>
    </xf>
    <xf borderId="0" fillId="10" fontId="8" numFmtId="0" xfId="0" applyAlignment="1" applyFont="1">
      <alignment/>
    </xf>
    <xf borderId="0" fillId="8" fontId="12" numFmtId="0" xfId="0" applyAlignment="1" applyFont="1">
      <alignment/>
    </xf>
    <xf borderId="0" fillId="8" fontId="12" numFmtId="0" xfId="0" applyAlignment="1" applyFont="1">
      <alignment horizontal="right"/>
    </xf>
    <xf borderId="0" fillId="8" fontId="17" numFmtId="0" xfId="0" applyAlignment="1" applyFont="1">
      <alignment horizontal="right"/>
    </xf>
    <xf borderId="0" fillId="8" fontId="8" numFmtId="0" xfId="0" applyAlignment="1" applyFont="1">
      <alignment/>
    </xf>
    <xf borderId="0" fillId="8" fontId="0" numFmtId="0" xfId="0" applyAlignment="1" applyFont="1">
      <alignment/>
    </xf>
    <xf borderId="0" fillId="8" fontId="8" numFmtId="0" xfId="0" applyAlignment="1" applyFont="1">
      <alignment horizontal="right"/>
    </xf>
    <xf borderId="0" fillId="14" fontId="8" numFmtId="0" xfId="0" applyAlignment="1" applyFill="1" applyFont="1">
      <alignment/>
    </xf>
    <xf borderId="0" fillId="15" fontId="19" numFmtId="0" xfId="0" applyAlignment="1" applyFill="1" applyFont="1">
      <alignment/>
    </xf>
    <xf borderId="0" fillId="14" fontId="0" numFmtId="0" xfId="0" applyAlignment="1" applyFont="1">
      <alignment/>
    </xf>
    <xf borderId="0" fillId="8" fontId="0" numFmtId="0" xfId="0" applyAlignment="1" applyFont="1">
      <alignment horizontal="right"/>
    </xf>
    <xf borderId="0" fillId="13" fontId="3" numFmtId="0" xfId="0" applyAlignment="1" applyFont="1">
      <alignment/>
    </xf>
    <xf borderId="0" fillId="13" fontId="8" numFmtId="0" xfId="0" applyAlignment="1" applyFont="1">
      <alignment/>
    </xf>
    <xf borderId="0" fillId="7" fontId="4" numFmtId="0" xfId="0" applyAlignment="1" applyFont="1">
      <alignment horizontal="right"/>
    </xf>
    <xf borderId="0" fillId="7" fontId="20" numFmtId="0" xfId="0" applyAlignment="1" applyFont="1">
      <alignment/>
    </xf>
    <xf borderId="0" fillId="0" fontId="17" numFmtId="0" xfId="0" applyAlignment="1" applyFont="1">
      <alignment/>
    </xf>
    <xf borderId="0" fillId="7" fontId="21" numFmtId="0" xfId="0" applyAlignment="1" applyFont="1">
      <alignment horizontal="right"/>
    </xf>
    <xf borderId="0" fillId="13" fontId="8" numFmtId="0" xfId="0" applyAlignment="1" applyFont="1">
      <alignment/>
    </xf>
    <xf borderId="8" fillId="0" fontId="0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11"/>
    <col customWidth="1" min="2" max="4" width="10.56"/>
    <col customWidth="1" min="5" max="5" width="26.78"/>
    <col customWidth="1" min="6" max="10" width="10.56"/>
    <col customWidth="1" min="11" max="11" width="18.67"/>
    <col customWidth="1" min="12" max="56" width="10.56"/>
  </cols>
  <sheetData>
    <row r="1">
      <c r="A1" s="1" t="s">
        <v>0</v>
      </c>
      <c r="B1" s="2" t="s">
        <v>1</v>
      </c>
      <c r="K1" s="2"/>
    </row>
    <row r="2">
      <c r="A2" s="1"/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/>
      <c r="Y2" s="4"/>
      <c r="Z2" s="5" t="s">
        <v>24</v>
      </c>
      <c r="AA2" t="s">
        <v>25</v>
      </c>
    </row>
    <row r="3">
      <c r="A3" s="6" t="s">
        <v>26</v>
      </c>
      <c r="B3" s="7" t="s">
        <v>27</v>
      </c>
      <c r="C3" s="8">
        <f>273.16+14</f>
        <v>287.16</v>
      </c>
      <c r="D3" s="8">
        <f>90.39329338+273.16</f>
        <v>363.5532934</v>
      </c>
      <c r="E3" s="8">
        <f>273.16+119.3861141</f>
        <v>392.5461141</v>
      </c>
      <c r="F3" s="8">
        <f>273.16+279.3998335</f>
        <v>552.5598335</v>
      </c>
      <c r="G3" s="8">
        <f>273.16+367.8125396</f>
        <v>640.9725396</v>
      </c>
      <c r="H3" s="8">
        <f>273.16+ 950.6059426</f>
        <v>1223.765943</v>
      </c>
      <c r="I3" s="8">
        <f>273.16+413.9408706</f>
        <v>687.1008706</v>
      </c>
      <c r="J3" s="8">
        <f>273.16+408.243187</f>
        <v>681.403187</v>
      </c>
      <c r="K3" s="8">
        <f>273.16+283.9446776</f>
        <v>557.1046776</v>
      </c>
      <c r="L3" s="8">
        <f>273.16+217.6293109</f>
        <v>490.7893109</v>
      </c>
      <c r="M3" s="8">
        <f>273.16+6.204390288</f>
        <v>279.3643903</v>
      </c>
      <c r="N3" s="8">
        <f>273.16+180.0069197</f>
        <v>453.1669197</v>
      </c>
      <c r="O3" s="8">
        <f>273.16+346.7435347</f>
        <v>619.9035347</v>
      </c>
      <c r="P3" s="8">
        <f>273.16+247.0046469</f>
        <v>520.1646469</v>
      </c>
      <c r="Q3" s="8">
        <f>273.16+73.00198419</f>
        <v>346.1619842</v>
      </c>
      <c r="R3" s="8">
        <f>273.16+101.7403547</f>
        <v>374.9003547</v>
      </c>
      <c r="S3" s="8">
        <f>273.16+86.86518411</f>
        <v>360.0251841</v>
      </c>
      <c r="T3" s="8">
        <f>273.16+87.01516513</f>
        <v>360.1751651</v>
      </c>
      <c r="U3" s="8">
        <f>273.16+87.29714685</f>
        <v>360.4571469</v>
      </c>
      <c r="V3" s="8">
        <f>273.16+34.70217645</f>
        <v>307.8621765</v>
      </c>
      <c r="W3">
        <f>273.16+300.0724613</f>
        <v>573.2324613</v>
      </c>
      <c r="Z3" s="9">
        <v>1033.0</v>
      </c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>
      <c r="A4" s="11">
        <f>(556.8/509.7)*8.26876804</f>
        <v>9.032862556</v>
      </c>
      <c r="B4" s="12" t="s">
        <v>28</v>
      </c>
      <c r="C4" s="2">
        <f>90.39329338+273.16</f>
        <v>363.5532934</v>
      </c>
      <c r="D4" s="13">
        <f>273.16+119.3861141</f>
        <v>392.5461141</v>
      </c>
      <c r="E4">
        <f>273.16+153.1604297</f>
        <v>426.3204297</v>
      </c>
      <c r="F4">
        <f>273.16+367.8125396</f>
        <v>640.9725396</v>
      </c>
      <c r="G4" s="13">
        <f>273.16+520.886684</f>
        <v>794.046684</v>
      </c>
      <c r="H4">
        <f>273.16+413.9408706</f>
        <v>687.1008706</v>
      </c>
      <c r="I4">
        <f>273.16+337.9031291</f>
        <v>611.0631291</v>
      </c>
      <c r="J4">
        <f>273.16+283.9446776</f>
        <v>557.1046776</v>
      </c>
      <c r="K4">
        <f>273.16+202.9490236</f>
        <v>476.1090236</v>
      </c>
      <c r="L4">
        <f>273.16+35.99132229</f>
        <v>309.1513223</v>
      </c>
      <c r="M4">
        <f>273.16+180.0069197</f>
        <v>453.1669197</v>
      </c>
      <c r="N4">
        <f>273.16+314.0070783</f>
        <v>587.1670783</v>
      </c>
      <c r="O4">
        <f>273.16+247.0046469</f>
        <v>520.1646469</v>
      </c>
      <c r="P4">
        <f>273.16+73.00198419</f>
        <v>346.1619842</v>
      </c>
      <c r="Q4">
        <f>273.16+ 13.99599258</f>
        <v>287.1559926</v>
      </c>
      <c r="R4">
        <f t="shared" ref="R4:U4" si="1">273.16+15</f>
        <v>288.16</v>
      </c>
      <c r="S4">
        <f t="shared" si="1"/>
        <v>288.16</v>
      </c>
      <c r="T4">
        <f t="shared" si="1"/>
        <v>288.16</v>
      </c>
      <c r="U4">
        <f t="shared" si="1"/>
        <v>288.16</v>
      </c>
      <c r="V4">
        <f>273.16+199.9999781</f>
        <v>473.1599781</v>
      </c>
      <c r="W4">
        <f>273.16+5.016969131</f>
        <v>278.1769691</v>
      </c>
      <c r="Z4" s="9">
        <v>493.0</v>
      </c>
    </row>
    <row r="5">
      <c r="A5" s="2"/>
      <c r="B5" s="12" t="s">
        <v>29</v>
      </c>
      <c r="C5" s="13">
        <f t="shared" ref="C5:W5" si="2">1-278.16/((C4-C3)/ln(C4/C3))</f>
        <v>0.1411007016</v>
      </c>
      <c r="D5" s="13">
        <f t="shared" si="2"/>
        <v>0.2638627957</v>
      </c>
      <c r="E5" s="13">
        <f t="shared" si="2"/>
        <v>0.3202362571</v>
      </c>
      <c r="F5" s="13">
        <f t="shared" si="2"/>
        <v>0.5330324119</v>
      </c>
      <c r="G5" s="13">
        <f t="shared" si="2"/>
        <v>0.6108452352</v>
      </c>
      <c r="H5" s="13">
        <f t="shared" si="2"/>
        <v>0.70082657</v>
      </c>
      <c r="I5" s="13">
        <f t="shared" si="2"/>
        <v>0.5709652045</v>
      </c>
      <c r="J5" s="13">
        <f t="shared" si="2"/>
        <v>0.5492970068</v>
      </c>
      <c r="K5" s="13">
        <f t="shared" si="2"/>
        <v>0.4604564339</v>
      </c>
      <c r="L5" s="13">
        <f t="shared" si="2"/>
        <v>0.2922123877</v>
      </c>
      <c r="M5" s="13">
        <f t="shared" si="2"/>
        <v>0.2257989275</v>
      </c>
      <c r="N5" s="13">
        <f t="shared" si="2"/>
        <v>0.4622615659</v>
      </c>
      <c r="O5" s="13">
        <f t="shared" si="2"/>
        <v>0.5107785206</v>
      </c>
      <c r="P5" s="13">
        <f t="shared" si="2"/>
        <v>0.3489899712</v>
      </c>
      <c r="Q5" s="13">
        <f t="shared" si="2"/>
        <v>0.1190236453</v>
      </c>
      <c r="R5" s="13">
        <f t="shared" si="2"/>
        <v>0.1561454488</v>
      </c>
      <c r="S5" s="13">
        <f t="shared" si="2"/>
        <v>0.1381838255</v>
      </c>
      <c r="T5" s="13">
        <f t="shared" si="2"/>
        <v>0.1383699386</v>
      </c>
      <c r="U5" s="13">
        <f t="shared" si="2"/>
        <v>0.1387195681</v>
      </c>
      <c r="V5" s="13">
        <f t="shared" si="2"/>
        <v>0.276772114</v>
      </c>
      <c r="W5" s="13">
        <f t="shared" si="2"/>
        <v>0.3183685884</v>
      </c>
      <c r="X5" s="13"/>
      <c r="Y5" s="13"/>
      <c r="Z5" s="13">
        <f>1-278.16/((Z4-Z3)/ln(Z4/Z3))</f>
        <v>0.6189654627</v>
      </c>
    </row>
    <row r="6">
      <c r="A6" s="1"/>
      <c r="B6" s="14" t="s">
        <v>30</v>
      </c>
      <c r="C6" s="15">
        <f>-4152746.484*C5/3600</f>
        <v>-162.7654007</v>
      </c>
      <c r="D6" s="15">
        <f>-1682185.693*D5/3600</f>
        <v>-123.2961722</v>
      </c>
      <c r="E6" s="15">
        <f>-1915053.593*E5/3600</f>
        <v>-170.3526652</v>
      </c>
      <c r="F6" s="15">
        <f>-20834482.89*F5/3600</f>
        <v>-3084.848518</v>
      </c>
      <c r="G6" s="15">
        <f>-37699002.59*G5/3600</f>
        <v>-6396.737807</v>
      </c>
      <c r="H6" s="15">
        <f>183167266.5*H5/3600</f>
        <v>35657.91309</v>
      </c>
      <c r="I6" s="15">
        <f>24446558.95*I5/3600</f>
        <v>3877.259592</v>
      </c>
      <c r="J6" s="15">
        <f>40294461.43*J5/3600</f>
        <v>6148.229738</v>
      </c>
      <c r="K6" s="15">
        <f>25766810.63*K5/3600</f>
        <v>3295.692704</v>
      </c>
      <c r="L6" s="15">
        <f>174114471.6*L5/3600</f>
        <v>14132.89041</v>
      </c>
      <c r="M6" s="15">
        <f>-27672069.1*M5/3600</f>
        <v>-1735.645423</v>
      </c>
      <c r="N6" s="15">
        <f>-21635771.45*N5/3600</f>
        <v>-2778.162664</v>
      </c>
      <c r="O6" s="15">
        <f>16104780.43*O5/3600</f>
        <v>2284.993312</v>
      </c>
      <c r="P6" s="15">
        <f>27652073.84*P5/3600</f>
        <v>2680.637904</v>
      </c>
      <c r="Q6" s="15">
        <f>11162457.22*Q5/3600</f>
        <v>369.0545413</v>
      </c>
      <c r="R6" s="15">
        <f>13927071.31*R5/3600</f>
        <v>604.0691112</v>
      </c>
      <c r="S6" s="15">
        <f>11640464.98*S5/3600</f>
        <v>446.812217</v>
      </c>
      <c r="T6" s="15">
        <f>11825982.72*T5/3600</f>
        <v>454.5445842</v>
      </c>
      <c r="U6" s="15">
        <f>12120341.1833443*U5/3600</f>
        <v>467.0356929</v>
      </c>
      <c r="V6" s="15">
        <f>-41614993.75*V5/3600</f>
        <v>-3199.408276</v>
      </c>
      <c r="W6" s="15">
        <f>112348462.5*W5/3600</f>
        <v>9935.61706</v>
      </c>
      <c r="X6" s="15"/>
      <c r="Y6" s="15"/>
      <c r="Z6" s="15">
        <f>F124*Z5</f>
        <v>10942.59386</v>
      </c>
    </row>
    <row r="7">
      <c r="A7" s="2"/>
      <c r="B7" s="14" t="s">
        <v>31</v>
      </c>
      <c r="C7" s="16">
        <f t="shared" ref="C7:W7" si="3">C6*0.6</f>
        <v>-97.65924042</v>
      </c>
      <c r="D7" s="9">
        <f t="shared" si="3"/>
        <v>-73.9777033</v>
      </c>
      <c r="E7" s="9">
        <f t="shared" si="3"/>
        <v>-102.2115991</v>
      </c>
      <c r="F7" s="17">
        <f t="shared" si="3"/>
        <v>-1850.909111</v>
      </c>
      <c r="G7" s="17">
        <f t="shared" si="3"/>
        <v>-3838.042684</v>
      </c>
      <c r="H7" s="17">
        <f t="shared" si="3"/>
        <v>21394.74785</v>
      </c>
      <c r="I7" s="17">
        <f t="shared" si="3"/>
        <v>2326.355755</v>
      </c>
      <c r="J7" s="17">
        <f t="shared" si="3"/>
        <v>3688.937843</v>
      </c>
      <c r="K7" s="17">
        <f t="shared" si="3"/>
        <v>1977.415623</v>
      </c>
      <c r="L7" s="17">
        <f t="shared" si="3"/>
        <v>8479.734246</v>
      </c>
      <c r="M7" s="17">
        <f t="shared" si="3"/>
        <v>-1041.387254</v>
      </c>
      <c r="N7" s="18">
        <f t="shared" si="3"/>
        <v>-1666.897598</v>
      </c>
      <c r="O7" s="18">
        <f t="shared" si="3"/>
        <v>1370.995987</v>
      </c>
      <c r="P7" s="18">
        <f t="shared" si="3"/>
        <v>1608.382742</v>
      </c>
      <c r="Q7" s="17">
        <f t="shared" si="3"/>
        <v>221.4327248</v>
      </c>
      <c r="R7" s="17">
        <f t="shared" si="3"/>
        <v>362.4414667</v>
      </c>
      <c r="S7" s="17">
        <f t="shared" si="3"/>
        <v>268.0873302</v>
      </c>
      <c r="T7" s="17">
        <f t="shared" si="3"/>
        <v>272.7267505</v>
      </c>
      <c r="U7" s="17">
        <f t="shared" si="3"/>
        <v>280.2214157</v>
      </c>
      <c r="V7" s="17">
        <f t="shared" si="3"/>
        <v>-1919.644965</v>
      </c>
      <c r="W7" s="17">
        <f t="shared" si="3"/>
        <v>5961.370236</v>
      </c>
      <c r="X7" s="17"/>
      <c r="Y7" s="17"/>
      <c r="Z7" s="17">
        <f>Z6*0.6</f>
        <v>6565.556314</v>
      </c>
    </row>
    <row r="8">
      <c r="A8" s="2"/>
      <c r="B8" s="12" t="s">
        <v>32</v>
      </c>
      <c r="C8" s="2">
        <f t="shared" ref="C8:W8" si="4">C7*0.3</f>
        <v>-29.29777213</v>
      </c>
      <c r="D8" s="2">
        <f t="shared" si="4"/>
        <v>-22.19331099</v>
      </c>
      <c r="E8" s="2">
        <f t="shared" si="4"/>
        <v>-30.66347974</v>
      </c>
      <c r="F8" s="2">
        <f t="shared" si="4"/>
        <v>-555.2727332</v>
      </c>
      <c r="G8" s="2">
        <f t="shared" si="4"/>
        <v>-1151.412805</v>
      </c>
      <c r="H8" s="2">
        <f t="shared" si="4"/>
        <v>6418.424356</v>
      </c>
      <c r="I8" s="2">
        <f t="shared" si="4"/>
        <v>697.9067265</v>
      </c>
      <c r="J8" s="2">
        <f t="shared" si="4"/>
        <v>1106.681353</v>
      </c>
      <c r="K8" s="2">
        <f t="shared" si="4"/>
        <v>593.2246868</v>
      </c>
      <c r="L8" s="2">
        <f t="shared" si="4"/>
        <v>2543.920274</v>
      </c>
      <c r="M8" s="2">
        <f t="shared" si="4"/>
        <v>-312.4161762</v>
      </c>
      <c r="N8" s="2">
        <f t="shared" si="4"/>
        <v>-500.0692795</v>
      </c>
      <c r="O8" s="2">
        <f t="shared" si="4"/>
        <v>411.2987962</v>
      </c>
      <c r="P8" s="2">
        <f t="shared" si="4"/>
        <v>482.5148226</v>
      </c>
      <c r="Q8" s="2">
        <f t="shared" si="4"/>
        <v>66.42981743</v>
      </c>
      <c r="R8" s="2">
        <f t="shared" si="4"/>
        <v>108.73244</v>
      </c>
      <c r="S8" s="2">
        <f t="shared" si="4"/>
        <v>80.42619906</v>
      </c>
      <c r="T8" s="2">
        <f t="shared" si="4"/>
        <v>81.81802516</v>
      </c>
      <c r="U8" s="2">
        <f t="shared" si="4"/>
        <v>84.06642472</v>
      </c>
      <c r="V8" s="2">
        <f t="shared" si="4"/>
        <v>-575.8934896</v>
      </c>
      <c r="W8" s="2">
        <f t="shared" si="4"/>
        <v>1788.411071</v>
      </c>
      <c r="X8" s="2"/>
      <c r="Y8" s="2"/>
      <c r="Z8" s="2">
        <f>Z7*0.3</f>
        <v>1969.666894</v>
      </c>
      <c r="AA8" s="19">
        <f>SUM(C8:Z8)</f>
        <v>13256.30284</v>
      </c>
    </row>
    <row r="9">
      <c r="A9" s="2"/>
      <c r="B9" s="20" t="s">
        <v>33</v>
      </c>
      <c r="C9" s="21">
        <f>AA8</f>
        <v>13256.30284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Z9" s="22"/>
    </row>
    <row r="10">
      <c r="A10" s="2"/>
      <c r="K10" s="2"/>
      <c r="S10" t="s">
        <v>34</v>
      </c>
      <c r="Z10" s="9" t="s">
        <v>35</v>
      </c>
    </row>
    <row r="11">
      <c r="A11" s="2" t="s">
        <v>36</v>
      </c>
      <c r="C11" s="23" t="s">
        <v>37</v>
      </c>
      <c r="D11" s="24" t="s">
        <v>38</v>
      </c>
      <c r="E11" s="24" t="s">
        <v>39</v>
      </c>
      <c r="F11" s="24" t="s">
        <v>40</v>
      </c>
      <c r="G11" s="24" t="s">
        <v>41</v>
      </c>
      <c r="H11" s="24" t="s">
        <v>42</v>
      </c>
      <c r="I11" s="24" t="s">
        <v>43</v>
      </c>
      <c r="J11" s="24" t="s">
        <v>44</v>
      </c>
      <c r="K11" s="24" t="s">
        <v>45</v>
      </c>
      <c r="L11" s="24" t="s">
        <v>46</v>
      </c>
      <c r="M11" s="24" t="s">
        <v>47</v>
      </c>
      <c r="N11" s="24" t="s">
        <v>48</v>
      </c>
      <c r="O11" s="24" t="s">
        <v>49</v>
      </c>
      <c r="P11" s="25" t="s">
        <v>25</v>
      </c>
      <c r="S11" s="2" t="s">
        <v>50</v>
      </c>
      <c r="T11" t="s">
        <v>51</v>
      </c>
    </row>
    <row r="12">
      <c r="A12" s="26" t="s">
        <v>52</v>
      </c>
      <c r="C12" s="27">
        <f t="shared" ref="C12:O12" si="5">C13/3600</f>
        <v>1182.858102</v>
      </c>
      <c r="D12" s="27">
        <f t="shared" si="5"/>
        <v>1506.622454</v>
      </c>
      <c r="E12" s="27">
        <f t="shared" si="5"/>
        <v>1918.527192</v>
      </c>
      <c r="F12" s="27">
        <f t="shared" si="5"/>
        <v>4993.909652</v>
      </c>
      <c r="G12" s="27">
        <f t="shared" si="5"/>
        <v>3439.999741</v>
      </c>
      <c r="H12" s="27">
        <f t="shared" si="5"/>
        <v>3237.435037</v>
      </c>
      <c r="I12" s="27">
        <f t="shared" si="5"/>
        <v>3322.037358</v>
      </c>
      <c r="J12" s="27">
        <f t="shared" si="5"/>
        <v>3480.029742</v>
      </c>
      <c r="K12" s="27">
        <f t="shared" si="5"/>
        <v>126.0187356</v>
      </c>
      <c r="L12" s="27">
        <f t="shared" si="5"/>
        <v>100.5157858</v>
      </c>
      <c r="M12" s="27">
        <f t="shared" si="5"/>
        <v>148.7306268</v>
      </c>
      <c r="N12" s="27">
        <f t="shared" si="5"/>
        <v>212.6473357</v>
      </c>
      <c r="O12" s="27">
        <f t="shared" si="5"/>
        <v>1604.861836</v>
      </c>
      <c r="P12" s="9" t="s">
        <v>53</v>
      </c>
      <c r="S12" s="16" t="s">
        <v>54</v>
      </c>
      <c r="T12" s="2" t="s">
        <v>55</v>
      </c>
    </row>
    <row r="13">
      <c r="A13" s="2" t="s">
        <v>56</v>
      </c>
      <c r="B13">
        <v>490000.0</v>
      </c>
      <c r="C13" s="28">
        <v>4258289.16569726</v>
      </c>
      <c r="D13" s="28">
        <v>5423840.83333706</v>
      </c>
      <c r="E13" s="28">
        <v>6906697.89013165</v>
      </c>
      <c r="F13" s="28">
        <v>1.79780747482602E7</v>
      </c>
      <c r="G13" s="29">
        <v>1.23839990663886E7</v>
      </c>
      <c r="H13" s="29">
        <v>1.16547661329855E7</v>
      </c>
      <c r="I13" s="29">
        <v>1.19593344874586E7</v>
      </c>
      <c r="J13" s="29">
        <v>1.25281070722287E7</v>
      </c>
      <c r="K13" s="29">
        <v>453667.448041961</v>
      </c>
      <c r="L13" s="29">
        <v>361856.828755613</v>
      </c>
      <c r="M13" s="29">
        <v>535430.256657753</v>
      </c>
      <c r="N13" s="29">
        <v>765530.408562174</v>
      </c>
      <c r="O13" s="17">
        <v>5777502.60800642</v>
      </c>
      <c r="P13" s="9" t="s">
        <v>57</v>
      </c>
    </row>
    <row r="14">
      <c r="A14" s="2" t="s">
        <v>58</v>
      </c>
      <c r="B14" s="2">
        <v>16800.0</v>
      </c>
      <c r="L14" s="16"/>
      <c r="M14" s="2"/>
    </row>
    <row r="15">
      <c r="A15" s="2" t="s">
        <v>59</v>
      </c>
      <c r="B15" s="2">
        <v>0.6</v>
      </c>
      <c r="L15" s="2"/>
    </row>
    <row r="16">
      <c r="A16" s="2" t="s">
        <v>60</v>
      </c>
      <c r="B16" s="16"/>
      <c r="C16">
        <f t="shared" ref="C16:O16" si="6">$B13+$B14*(C12)^$B15</f>
        <v>1662381.269</v>
      </c>
      <c r="D16">
        <f t="shared" si="6"/>
        <v>1845538.769</v>
      </c>
      <c r="E16">
        <f t="shared" si="6"/>
        <v>2057075.992</v>
      </c>
      <c r="F16">
        <f t="shared" si="6"/>
        <v>3272106.112</v>
      </c>
      <c r="G16">
        <f t="shared" si="6"/>
        <v>2714561.044</v>
      </c>
      <c r="H16">
        <f t="shared" si="6"/>
        <v>2635012.954</v>
      </c>
      <c r="I16">
        <f t="shared" si="6"/>
        <v>2668472.033</v>
      </c>
      <c r="J16">
        <f t="shared" si="6"/>
        <v>2730056.926</v>
      </c>
      <c r="K16">
        <f t="shared" si="6"/>
        <v>795893.573</v>
      </c>
      <c r="L16">
        <f t="shared" si="6"/>
        <v>757085.2134</v>
      </c>
      <c r="M16">
        <f t="shared" si="6"/>
        <v>827869.9183</v>
      </c>
      <c r="N16">
        <f t="shared" si="6"/>
        <v>908702.2061</v>
      </c>
      <c r="O16">
        <f t="shared" si="6"/>
        <v>1897900.202</v>
      </c>
      <c r="P16">
        <f>sum(C16:O16)</f>
        <v>24772656.21</v>
      </c>
    </row>
    <row r="17">
      <c r="A17" s="30" t="s">
        <v>61</v>
      </c>
      <c r="B17" s="19">
        <f>D17*A4</f>
        <v>290898398.3</v>
      </c>
      <c r="C17" s="31" t="s">
        <v>62</v>
      </c>
      <c r="D17" s="32">
        <f>P16*B18</f>
        <v>32204453.07</v>
      </c>
      <c r="K17" s="2"/>
    </row>
    <row r="18">
      <c r="A18" s="33" t="s">
        <v>63</v>
      </c>
      <c r="B18" s="34">
        <v>1.3</v>
      </c>
      <c r="K18" s="2"/>
      <c r="M18">
        <f>K16:O16</f>
        <v>827869.9183</v>
      </c>
    </row>
    <row r="19">
      <c r="A19" s="2" t="s">
        <v>64</v>
      </c>
      <c r="B19" s="9" t="s">
        <v>65</v>
      </c>
      <c r="C19" s="35"/>
      <c r="D19" s="36" t="s">
        <v>66</v>
      </c>
      <c r="E19" s="36" t="s">
        <v>67</v>
      </c>
      <c r="F19" s="36" t="s">
        <v>68</v>
      </c>
      <c r="G19" s="36" t="s">
        <v>69</v>
      </c>
      <c r="H19" s="36" t="s">
        <v>70</v>
      </c>
      <c r="I19" s="37"/>
      <c r="K19" s="38"/>
      <c r="L19" s="39" t="s">
        <v>24</v>
      </c>
      <c r="M19" s="40" t="s">
        <v>71</v>
      </c>
    </row>
    <row r="20">
      <c r="A20" s="9" t="s">
        <v>72</v>
      </c>
      <c r="B20" s="9">
        <v>0.45</v>
      </c>
      <c r="D20" s="9">
        <v>5.0</v>
      </c>
      <c r="E20" s="9">
        <v>5.0</v>
      </c>
      <c r="F20" s="9">
        <v>5.0</v>
      </c>
      <c r="G20" s="9">
        <v>5.0</v>
      </c>
      <c r="H20" s="9">
        <v>33.0</v>
      </c>
      <c r="I20" s="9"/>
      <c r="K20" s="41" t="s">
        <v>73</v>
      </c>
      <c r="L20" s="42">
        <f>(3.14*L26)*((L24+L25*2)/2)^2</f>
        <v>0.3915405556</v>
      </c>
      <c r="M20" s="43"/>
    </row>
    <row r="21">
      <c r="A21" s="44" t="s">
        <v>74</v>
      </c>
      <c r="C21" s="27"/>
      <c r="D21" s="27">
        <f>27050/3600</f>
        <v>7.513888889</v>
      </c>
      <c r="E21" s="27">
        <f>18680/3600</f>
        <v>5.188888889</v>
      </c>
      <c r="F21" s="27">
        <f>15320/3600</f>
        <v>4.255555556</v>
      </c>
      <c r="G21" s="27">
        <f>11950/3600</f>
        <v>3.319444444</v>
      </c>
      <c r="H21" s="27">
        <f>1476/3600</f>
        <v>0.41</v>
      </c>
      <c r="I21" s="27"/>
      <c r="K21" s="41" t="s">
        <v>75</v>
      </c>
      <c r="L21" s="42">
        <f>3.14*($L$24/2)^2*L26</f>
        <v>0.2450072222</v>
      </c>
      <c r="M21" s="43"/>
    </row>
    <row r="22">
      <c r="A22" s="9" t="s">
        <v>76</v>
      </c>
      <c r="K22" s="41" t="s">
        <v>77</v>
      </c>
      <c r="L22" s="42">
        <f>L20-L21</f>
        <v>0.1465333333</v>
      </c>
      <c r="M22" s="43"/>
      <c r="Q22">
        <f t="shared" ref="Q22:V22" si="7">Q23*15</f>
        <v>111.2916667</v>
      </c>
      <c r="R22">
        <f t="shared" si="7"/>
        <v>76.70833333</v>
      </c>
      <c r="S22">
        <f t="shared" si="7"/>
        <v>62.91666667</v>
      </c>
      <c r="T22">
        <f t="shared" si="7"/>
        <v>32.83333333</v>
      </c>
      <c r="U22">
        <f t="shared" si="7"/>
        <v>49.29166667</v>
      </c>
      <c r="V22">
        <f t="shared" si="7"/>
        <v>11.96666667</v>
      </c>
    </row>
    <row r="23">
      <c r="A23" s="9" t="s">
        <v>78</v>
      </c>
      <c r="C23" s="45"/>
      <c r="K23" s="40" t="s">
        <v>79</v>
      </c>
      <c r="L23" s="40">
        <f>U25+U24</f>
        <v>280</v>
      </c>
      <c r="M23" s="43"/>
      <c r="Q23" s="45">
        <f>26710/3600</f>
        <v>7.419444444</v>
      </c>
      <c r="R23" s="45">
        <f>18410/3600</f>
        <v>5.113888889</v>
      </c>
      <c r="S23" s="45">
        <f>15100/3600</f>
        <v>4.194444444</v>
      </c>
      <c r="T23" s="45">
        <f>7880/3600</f>
        <v>2.188888889</v>
      </c>
      <c r="U23" s="45">
        <f>11830/3600</f>
        <v>3.286111111</v>
      </c>
      <c r="V23" s="45">
        <f>2872/3600</f>
        <v>0.7977777778</v>
      </c>
    </row>
    <row r="24">
      <c r="A24" s="9" t="s">
        <v>80</v>
      </c>
      <c r="D24">
        <f t="shared" ref="D24:H24" si="8">(D21*D20)/$B$20</f>
        <v>83.48765432</v>
      </c>
      <c r="E24">
        <f t="shared" si="8"/>
        <v>57.65432099</v>
      </c>
      <c r="F24">
        <f t="shared" si="8"/>
        <v>47.28395062</v>
      </c>
      <c r="G24">
        <f t="shared" si="8"/>
        <v>36.88271605</v>
      </c>
      <c r="H24">
        <f t="shared" si="8"/>
        <v>30.06666667</v>
      </c>
      <c r="K24" s="40" t="s">
        <v>81</v>
      </c>
      <c r="L24" s="40">
        <f t="shared" ref="L24:L25" si="9">S29+S27</f>
        <v>0.1766666667</v>
      </c>
      <c r="M24" s="43"/>
      <c r="R24" s="46" t="s">
        <v>82</v>
      </c>
      <c r="S24" s="45">
        <v>4.0</v>
      </c>
      <c r="T24" s="9" t="s">
        <v>83</v>
      </c>
      <c r="U24">
        <f>S26*360</f>
        <v>240</v>
      </c>
    </row>
    <row r="25">
      <c r="A25" s="2" t="s">
        <v>56</v>
      </c>
      <c r="B25">
        <v>53000.0</v>
      </c>
      <c r="C25" s="16"/>
      <c r="D25" s="2"/>
      <c r="E25" s="2"/>
      <c r="F25" s="2"/>
      <c r="G25" s="2"/>
      <c r="H25" s="2"/>
      <c r="I25" s="2"/>
      <c r="J25" s="9"/>
      <c r="K25" s="40" t="s">
        <v>84</v>
      </c>
      <c r="L25" s="40">
        <f t="shared" si="9"/>
        <v>0.02333333333</v>
      </c>
      <c r="M25" s="43"/>
      <c r="N25" s="9" t="s">
        <v>85</v>
      </c>
      <c r="Q25">
        <f>13480/13480</f>
        <v>1</v>
      </c>
      <c r="R25" s="46" t="s">
        <v>86</v>
      </c>
      <c r="S25" s="45">
        <v>6.0</v>
      </c>
      <c r="T25" s="9" t="s">
        <v>87</v>
      </c>
      <c r="U25" s="9">
        <v>40.0</v>
      </c>
    </row>
    <row r="26">
      <c r="A26" s="2" t="s">
        <v>58</v>
      </c>
      <c r="B26" s="2">
        <v>28000.0</v>
      </c>
      <c r="K26" s="40" t="s">
        <v>88</v>
      </c>
      <c r="L26" s="40">
        <v>10.0</v>
      </c>
      <c r="M26" s="43"/>
      <c r="R26" s="46" t="s">
        <v>89</v>
      </c>
      <c r="S26" s="45">
        <f>S24/S25</f>
        <v>0.6666666667</v>
      </c>
    </row>
    <row r="27">
      <c r="A27" s="2" t="s">
        <v>59</v>
      </c>
      <c r="B27" s="2">
        <v>0.8</v>
      </c>
      <c r="K27" s="47" t="s">
        <v>90</v>
      </c>
      <c r="L27" s="40">
        <f>L22*L23*Q25</f>
        <v>41.02933333</v>
      </c>
      <c r="M27" s="40">
        <f>B25+B26*(L27)^B27</f>
        <v>599554.6577</v>
      </c>
      <c r="R27" s="46" t="s">
        <v>91</v>
      </c>
      <c r="S27" s="45">
        <f>S26*0.16</f>
        <v>0.1066666667</v>
      </c>
    </row>
    <row r="28">
      <c r="A28" s="2" t="s">
        <v>60</v>
      </c>
      <c r="B28" s="2"/>
      <c r="D28">
        <f t="shared" ref="D28:H28" si="10">$B$25+$B$26*(D24)^$B$27</f>
        <v>1017841.197</v>
      </c>
      <c r="E28">
        <f t="shared" si="10"/>
        <v>770502.6686</v>
      </c>
      <c r="F28">
        <f t="shared" si="10"/>
        <v>665250.3406</v>
      </c>
      <c r="G28">
        <f t="shared" si="10"/>
        <v>554899.0197</v>
      </c>
      <c r="H28">
        <f t="shared" si="10"/>
        <v>479212.5736</v>
      </c>
      <c r="K28" s="48" t="s">
        <v>92</v>
      </c>
      <c r="L28" s="49">
        <v>1.3076923</v>
      </c>
      <c r="M28" s="50">
        <f>M27*L28</f>
        <v>784033.0092</v>
      </c>
      <c r="N28" s="51" t="s">
        <v>93</v>
      </c>
      <c r="O28" s="30" t="s">
        <v>61</v>
      </c>
      <c r="P28" s="19">
        <f>M28*A4</f>
        <v>7082062.412</v>
      </c>
      <c r="R28" s="46" t="s">
        <v>94</v>
      </c>
      <c r="S28" s="45">
        <f>S26*0.02</f>
        <v>0.01333333333</v>
      </c>
    </row>
    <row r="29">
      <c r="A29" s="30" t="s">
        <v>95</v>
      </c>
      <c r="B29" s="19">
        <f>D29*A4</f>
        <v>31503967.12</v>
      </c>
      <c r="C29" s="52" t="s">
        <v>96</v>
      </c>
      <c r="D29" s="32">
        <f>SUM(D28:H28)</f>
        <v>3487705.799</v>
      </c>
      <c r="E29" s="2"/>
      <c r="F29" s="2"/>
      <c r="G29" s="2"/>
      <c r="H29" s="2"/>
      <c r="I29" s="2"/>
      <c r="K29" s="2"/>
      <c r="R29" s="46" t="s">
        <v>97</v>
      </c>
      <c r="S29" s="45">
        <v>0.07</v>
      </c>
    </row>
    <row r="30">
      <c r="A30" s="53" t="s">
        <v>98</v>
      </c>
      <c r="B30" s="34">
        <f>1.7/1.3</f>
        <v>1.307692308</v>
      </c>
      <c r="C30">
        <f>C28*B30</f>
        <v>0</v>
      </c>
      <c r="K30" s="2"/>
      <c r="R30" s="46" t="s">
        <v>99</v>
      </c>
      <c r="S30" s="45">
        <v>0.01</v>
      </c>
    </row>
    <row r="31">
      <c r="A31" s="2" t="s">
        <v>100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  <c r="H31" t="s">
        <v>8</v>
      </c>
      <c r="I31" t="s">
        <v>9</v>
      </c>
      <c r="J31" t="s">
        <v>10</v>
      </c>
      <c r="K31" s="2" t="s">
        <v>11</v>
      </c>
      <c r="L31" s="2" t="s">
        <v>12</v>
      </c>
      <c r="M31" s="2" t="s">
        <v>13</v>
      </c>
      <c r="N31" s="2" t="s">
        <v>14</v>
      </c>
      <c r="O31" t="s">
        <v>15</v>
      </c>
      <c r="P31" t="s">
        <v>16</v>
      </c>
      <c r="Q31" t="s">
        <v>17</v>
      </c>
      <c r="R31" t="s">
        <v>18</v>
      </c>
      <c r="S31" t="s">
        <v>19</v>
      </c>
      <c r="T31" t="s">
        <v>20</v>
      </c>
      <c r="U31" t="s">
        <v>21</v>
      </c>
      <c r="V31" t="s">
        <v>22</v>
      </c>
      <c r="W31" t="s">
        <v>23</v>
      </c>
    </row>
    <row r="32">
      <c r="A32" s="26" t="s">
        <v>101</v>
      </c>
      <c r="C32" s="54">
        <v>400.0</v>
      </c>
      <c r="D32" s="55">
        <v>400.0</v>
      </c>
      <c r="E32" s="55">
        <v>400.0</v>
      </c>
      <c r="F32" s="55">
        <v>400.0</v>
      </c>
      <c r="G32" s="55">
        <v>400.0</v>
      </c>
      <c r="H32" s="55">
        <v>400.0</v>
      </c>
      <c r="I32" s="55">
        <v>400.0</v>
      </c>
      <c r="J32" s="55">
        <v>400.0</v>
      </c>
      <c r="K32" s="55">
        <v>400.0</v>
      </c>
      <c r="L32" s="55">
        <v>400.0</v>
      </c>
      <c r="M32" s="55">
        <v>400.0</v>
      </c>
      <c r="N32" s="55">
        <v>400.0</v>
      </c>
      <c r="O32" s="55">
        <v>400.0</v>
      </c>
      <c r="P32" s="55">
        <v>400.0</v>
      </c>
      <c r="Q32" s="55">
        <v>400.0</v>
      </c>
      <c r="R32" s="55">
        <v>400.0</v>
      </c>
      <c r="S32" s="55">
        <v>400.0</v>
      </c>
      <c r="T32" s="55">
        <v>400.0</v>
      </c>
      <c r="U32" s="55">
        <v>400.0</v>
      </c>
      <c r="V32" s="55">
        <v>400.0</v>
      </c>
      <c r="W32" s="55">
        <v>400.0</v>
      </c>
      <c r="X32" s="55"/>
      <c r="Y32" s="55"/>
      <c r="Z32" s="56" t="s">
        <v>25</v>
      </c>
    </row>
    <row r="33">
      <c r="A33" s="16" t="s">
        <v>102</v>
      </c>
      <c r="C33" s="9">
        <f t="shared" ref="C33:W33" si="11">-C6*1000/(C5)</f>
        <v>1153540.69</v>
      </c>
      <c r="D33" s="9">
        <f t="shared" si="11"/>
        <v>467273.8036</v>
      </c>
      <c r="E33" s="9">
        <f t="shared" si="11"/>
        <v>531959.3314</v>
      </c>
      <c r="F33" s="9">
        <f t="shared" si="11"/>
        <v>5787356.358</v>
      </c>
      <c r="G33" s="9">
        <f t="shared" si="11"/>
        <v>10471945.16</v>
      </c>
      <c r="H33" s="9">
        <f t="shared" si="11"/>
        <v>-50879796.25</v>
      </c>
      <c r="I33" s="9">
        <f t="shared" si="11"/>
        <v>-6790710.819</v>
      </c>
      <c r="J33" s="9">
        <f t="shared" si="11"/>
        <v>-11192905.95</v>
      </c>
      <c r="K33" s="9">
        <f t="shared" si="11"/>
        <v>-7157447.397</v>
      </c>
      <c r="L33" s="9">
        <f t="shared" si="11"/>
        <v>-48365131</v>
      </c>
      <c r="M33" s="9">
        <f t="shared" si="11"/>
        <v>7686685.861</v>
      </c>
      <c r="N33" s="9">
        <f t="shared" si="11"/>
        <v>6009936.514</v>
      </c>
      <c r="O33" s="9">
        <f t="shared" si="11"/>
        <v>-4473550.119</v>
      </c>
      <c r="P33" s="9">
        <f t="shared" si="11"/>
        <v>-7681131.622</v>
      </c>
      <c r="Q33" s="9">
        <f t="shared" si="11"/>
        <v>-3100682.561</v>
      </c>
      <c r="R33" s="9">
        <f t="shared" si="11"/>
        <v>-3868630.919</v>
      </c>
      <c r="S33" s="9">
        <f t="shared" si="11"/>
        <v>-3233462.494</v>
      </c>
      <c r="T33" s="9">
        <f t="shared" si="11"/>
        <v>-3284995.2</v>
      </c>
      <c r="U33" s="9">
        <f t="shared" si="11"/>
        <v>-3366761.44</v>
      </c>
      <c r="V33" s="9">
        <f t="shared" si="11"/>
        <v>11559720.49</v>
      </c>
      <c r="W33" s="9">
        <f t="shared" si="11"/>
        <v>-31207906.25</v>
      </c>
      <c r="X33" s="9"/>
      <c r="Y33" s="9"/>
    </row>
    <row r="34">
      <c r="A34" s="9" t="s">
        <v>103</v>
      </c>
      <c r="C34">
        <f t="shared" ref="C34:W34" si="12">(C4-C3)/2</f>
        <v>38.19664669</v>
      </c>
      <c r="D34">
        <f t="shared" si="12"/>
        <v>14.49641036</v>
      </c>
      <c r="E34">
        <f t="shared" si="12"/>
        <v>16.8871578</v>
      </c>
      <c r="F34">
        <f t="shared" si="12"/>
        <v>44.20635305</v>
      </c>
      <c r="G34">
        <f t="shared" si="12"/>
        <v>76.5370722</v>
      </c>
      <c r="H34">
        <f t="shared" si="12"/>
        <v>-268.332536</v>
      </c>
      <c r="I34">
        <f t="shared" si="12"/>
        <v>-38.01887075</v>
      </c>
      <c r="J34">
        <f t="shared" si="12"/>
        <v>-62.1492547</v>
      </c>
      <c r="K34">
        <f t="shared" si="12"/>
        <v>-40.497827</v>
      </c>
      <c r="L34">
        <f t="shared" si="12"/>
        <v>-90.81899431</v>
      </c>
      <c r="M34">
        <f t="shared" si="12"/>
        <v>86.90126471</v>
      </c>
      <c r="N34">
        <f t="shared" si="12"/>
        <v>67.0000793</v>
      </c>
      <c r="O34">
        <f t="shared" si="12"/>
        <v>-49.8694439</v>
      </c>
      <c r="P34">
        <f t="shared" si="12"/>
        <v>-87.00133136</v>
      </c>
      <c r="Q34">
        <f t="shared" si="12"/>
        <v>-29.50299581</v>
      </c>
      <c r="R34">
        <f t="shared" si="12"/>
        <v>-43.37017735</v>
      </c>
      <c r="S34">
        <f t="shared" si="12"/>
        <v>-35.93259206</v>
      </c>
      <c r="T34">
        <f t="shared" si="12"/>
        <v>-36.00758257</v>
      </c>
      <c r="U34">
        <f t="shared" si="12"/>
        <v>-36.14857343</v>
      </c>
      <c r="V34">
        <f t="shared" si="12"/>
        <v>82.64890083</v>
      </c>
      <c r="W34">
        <f t="shared" si="12"/>
        <v>-147.5277461</v>
      </c>
    </row>
    <row r="35">
      <c r="A35" s="9" t="s">
        <v>104</v>
      </c>
      <c r="C35">
        <f t="shared" ref="C35:W35" si="13">C33/(C32*C34)</f>
        <v>75.50012828</v>
      </c>
      <c r="D35">
        <f t="shared" si="13"/>
        <v>80.58439848</v>
      </c>
      <c r="E35">
        <f t="shared" si="13"/>
        <v>78.75205196</v>
      </c>
      <c r="F35">
        <f t="shared" si="13"/>
        <v>327.2921175</v>
      </c>
      <c r="G35">
        <f t="shared" si="13"/>
        <v>342.0546692</v>
      </c>
      <c r="H35">
        <f t="shared" si="13"/>
        <v>474.0367774</v>
      </c>
      <c r="I35">
        <f t="shared" si="13"/>
        <v>446.5355418</v>
      </c>
      <c r="J35">
        <f t="shared" si="13"/>
        <v>450.2429678</v>
      </c>
      <c r="K35">
        <f t="shared" si="13"/>
        <v>441.8414473</v>
      </c>
      <c r="L35">
        <f t="shared" si="13"/>
        <v>1331.360564</v>
      </c>
      <c r="M35">
        <f t="shared" si="13"/>
        <v>221.1327386</v>
      </c>
      <c r="N35">
        <f t="shared" si="13"/>
        <v>224.251097</v>
      </c>
      <c r="O35">
        <f t="shared" si="13"/>
        <v>224.2630842</v>
      </c>
      <c r="P35">
        <f t="shared" si="13"/>
        <v>220.7187954</v>
      </c>
      <c r="Q35">
        <f t="shared" si="13"/>
        <v>262.7430263</v>
      </c>
      <c r="R35">
        <f t="shared" si="13"/>
        <v>223.0006398</v>
      </c>
      <c r="S35">
        <f t="shared" si="13"/>
        <v>224.9672449</v>
      </c>
      <c r="T35">
        <f t="shared" si="13"/>
        <v>228.0766276</v>
      </c>
      <c r="U35">
        <f t="shared" si="13"/>
        <v>232.8419299</v>
      </c>
      <c r="V35">
        <f t="shared" si="13"/>
        <v>349.6634671</v>
      </c>
      <c r="W35">
        <f t="shared" si="13"/>
        <v>528.8480825</v>
      </c>
    </row>
    <row r="36">
      <c r="A36" s="16" t="s">
        <v>56</v>
      </c>
      <c r="B36">
        <v>24000.0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>
      <c r="A37" s="2" t="s">
        <v>58</v>
      </c>
      <c r="B37" s="2">
        <v>46.0</v>
      </c>
      <c r="K37" s="2"/>
    </row>
    <row r="38">
      <c r="A38" s="2" t="s">
        <v>59</v>
      </c>
      <c r="B38" s="2">
        <v>1.2</v>
      </c>
      <c r="K38" s="2"/>
    </row>
    <row r="39">
      <c r="A39" s="2" t="s">
        <v>60</v>
      </c>
      <c r="B39" s="2"/>
      <c r="C39">
        <f t="shared" ref="C39:W39" si="14">$B$36+$B$37*(C35)^$B$38</f>
        <v>32246.98224</v>
      </c>
      <c r="D39">
        <f t="shared" si="14"/>
        <v>32917.82599</v>
      </c>
      <c r="E39">
        <f t="shared" si="14"/>
        <v>32675.05198</v>
      </c>
      <c r="F39">
        <f t="shared" si="14"/>
        <v>71938.06354</v>
      </c>
      <c r="G39">
        <f t="shared" si="14"/>
        <v>74544.33178</v>
      </c>
      <c r="H39">
        <f t="shared" si="14"/>
        <v>98770.84282</v>
      </c>
      <c r="I39">
        <f t="shared" si="14"/>
        <v>93596.12671</v>
      </c>
      <c r="J39">
        <f t="shared" si="14"/>
        <v>94290.09945</v>
      </c>
      <c r="K39" s="2">
        <f t="shared" si="14"/>
        <v>92719.11772</v>
      </c>
      <c r="L39">
        <f t="shared" si="14"/>
        <v>282174.0919</v>
      </c>
      <c r="M39">
        <f t="shared" si="14"/>
        <v>53946.18375</v>
      </c>
      <c r="N39">
        <f t="shared" si="14"/>
        <v>54453.64797</v>
      </c>
      <c r="O39">
        <f t="shared" si="14"/>
        <v>54455.60144</v>
      </c>
      <c r="P39">
        <f t="shared" si="14"/>
        <v>53878.92805</v>
      </c>
      <c r="Q39">
        <f t="shared" si="14"/>
        <v>60829.45304</v>
      </c>
      <c r="R39">
        <f t="shared" si="14"/>
        <v>54249.98493</v>
      </c>
      <c r="S39">
        <f t="shared" si="14"/>
        <v>54570.39</v>
      </c>
      <c r="T39">
        <f t="shared" si="14"/>
        <v>55078.12227</v>
      </c>
      <c r="U39">
        <f t="shared" si="14"/>
        <v>55858.93545</v>
      </c>
      <c r="V39">
        <f t="shared" si="14"/>
        <v>75896.50884</v>
      </c>
      <c r="W39">
        <f t="shared" si="14"/>
        <v>109261.8894</v>
      </c>
      <c r="Z39">
        <f>sum(C39:Y39)</f>
        <v>1588352.179</v>
      </c>
    </row>
    <row r="40">
      <c r="A40" s="30" t="s">
        <v>61</v>
      </c>
      <c r="B40" s="19">
        <f>D40*A4</f>
        <v>18651577</v>
      </c>
      <c r="C40" s="52" t="s">
        <v>62</v>
      </c>
      <c r="D40" s="32">
        <f>Z39*B41</f>
        <v>2064857.833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>
      <c r="A41" s="16" t="s">
        <v>105</v>
      </c>
      <c r="B41" s="9">
        <v>1.3</v>
      </c>
      <c r="K41" s="2"/>
    </row>
    <row r="42">
      <c r="A42" s="2"/>
      <c r="K42" s="2"/>
    </row>
    <row r="43">
      <c r="A43" s="2"/>
      <c r="K43" s="2"/>
    </row>
    <row r="44">
      <c r="A44" s="57" t="s">
        <v>106</v>
      </c>
      <c r="B44" s="36" t="s">
        <v>107</v>
      </c>
      <c r="C44" s="36" t="s">
        <v>108</v>
      </c>
      <c r="D44" s="36" t="s">
        <v>109</v>
      </c>
      <c r="E44" s="36" t="s">
        <v>110</v>
      </c>
      <c r="F44" s="36" t="s">
        <v>111</v>
      </c>
      <c r="G44" s="36" t="s">
        <v>112</v>
      </c>
      <c r="H44" s="25" t="s">
        <v>113</v>
      </c>
      <c r="I44" s="25" t="s">
        <v>114</v>
      </c>
      <c r="J44" s="25"/>
      <c r="K44" s="25"/>
    </row>
    <row r="45">
      <c r="A45" s="26" t="s">
        <v>115</v>
      </c>
      <c r="B45" s="16">
        <v>1000.0</v>
      </c>
      <c r="C45" s="16">
        <v>1016.0</v>
      </c>
      <c r="D45" s="16">
        <v>1016.0</v>
      </c>
      <c r="E45" s="16">
        <v>1017.0</v>
      </c>
      <c r="F45" s="16">
        <v>1018.0</v>
      </c>
      <c r="G45" s="16">
        <v>1021.0</v>
      </c>
      <c r="H45" s="9">
        <v>612.1</v>
      </c>
      <c r="I45" s="9">
        <v>642.0</v>
      </c>
      <c r="J45" s="9"/>
      <c r="K45" s="9"/>
    </row>
    <row r="46">
      <c r="A46" s="2" t="s">
        <v>116</v>
      </c>
      <c r="B46" s="16">
        <v>13.94</v>
      </c>
      <c r="C46" s="9">
        <v>8.066</v>
      </c>
      <c r="D46" s="9">
        <v>14.13</v>
      </c>
      <c r="E46" s="9">
        <v>24.99</v>
      </c>
      <c r="F46" s="9">
        <v>43.49</v>
      </c>
      <c r="G46" s="9">
        <v>73.51</v>
      </c>
      <c r="H46" s="9">
        <v>119.7</v>
      </c>
      <c r="I46" s="9">
        <v>3.948</v>
      </c>
      <c r="J46" s="9"/>
      <c r="K46" s="9"/>
    </row>
    <row r="47">
      <c r="A47" s="2" t="s">
        <v>117</v>
      </c>
      <c r="B47" s="16">
        <f t="shared" ref="B47:I47" si="15">0.07*((B45-B46)/B46)^0.5</f>
        <v>0.5887329244</v>
      </c>
      <c r="C47" s="9">
        <f t="shared" si="15"/>
        <v>0.7825011398</v>
      </c>
      <c r="D47" s="9">
        <f t="shared" si="15"/>
        <v>0.5894305551</v>
      </c>
      <c r="E47" s="9">
        <f t="shared" si="15"/>
        <v>0.4410348792</v>
      </c>
      <c r="F47" s="9">
        <f t="shared" si="15"/>
        <v>0.3313572568</v>
      </c>
      <c r="G47" s="9">
        <f t="shared" si="15"/>
        <v>0.2513113749</v>
      </c>
      <c r="H47" s="9">
        <f t="shared" si="15"/>
        <v>0.141974382</v>
      </c>
      <c r="I47" s="9">
        <f t="shared" si="15"/>
        <v>0.8898924152</v>
      </c>
      <c r="J47" s="9"/>
      <c r="K47" s="9"/>
    </row>
    <row r="48">
      <c r="A48" s="2" t="s">
        <v>118</v>
      </c>
      <c r="B48" s="2">
        <f>7290/(3600)</f>
        <v>2.025</v>
      </c>
      <c r="C48" s="2">
        <f>5881/3600</f>
        <v>1.633611111</v>
      </c>
      <c r="D48" s="2">
        <f>3369/3600</f>
        <v>0.9358333333</v>
      </c>
      <c r="E48" s="2">
        <f>1904/3600</f>
        <v>0.5288888889</v>
      </c>
      <c r="F48" s="2">
        <f>1094/3600</f>
        <v>0.3038888889</v>
      </c>
      <c r="G48" s="2">
        <f>647.1/3600</f>
        <v>0.17975</v>
      </c>
      <c r="H48" s="2">
        <f>265.6/3600</f>
        <v>0.07377777778</v>
      </c>
      <c r="I48" s="2">
        <f>1414/3600</f>
        <v>0.3927777778</v>
      </c>
      <c r="J48" s="2"/>
      <c r="K48" s="2"/>
    </row>
    <row r="49">
      <c r="A49" s="2" t="s">
        <v>119</v>
      </c>
      <c r="B49" s="2">
        <f t="shared" ref="B49:C49" si="16">(4*B48/(3.14*B47))^(0.5)</f>
        <v>2.093237582</v>
      </c>
      <c r="C49">
        <f t="shared" si="16"/>
        <v>1.630786177</v>
      </c>
      <c r="D49">
        <f>(4*E48/(3.14*D47))^(0.5)</f>
        <v>1.069131365</v>
      </c>
      <c r="E49">
        <f t="shared" ref="E49:I49" si="17">(4*E48/(3.14*E47))^(0.5)</f>
        <v>1.235978524</v>
      </c>
      <c r="F49">
        <f t="shared" si="17"/>
        <v>1.080872181</v>
      </c>
      <c r="G49">
        <f t="shared" si="17"/>
        <v>0.9545387161</v>
      </c>
      <c r="H49">
        <f t="shared" si="17"/>
        <v>0.8136225244</v>
      </c>
      <c r="I49">
        <f t="shared" si="17"/>
        <v>0.7498421917</v>
      </c>
    </row>
    <row r="50">
      <c r="A50" s="2" t="s">
        <v>120</v>
      </c>
      <c r="B50" s="2">
        <f t="shared" ref="B50:I50" si="18">B49*3.2808399</f>
        <v>6.867577378</v>
      </c>
      <c r="C50" s="2">
        <f t="shared" si="18"/>
        <v>5.350348357</v>
      </c>
      <c r="D50" s="2">
        <f t="shared" si="18"/>
        <v>3.507648841</v>
      </c>
      <c r="E50" s="2">
        <f t="shared" si="18"/>
        <v>4.055047658</v>
      </c>
      <c r="F50" s="2">
        <f t="shared" si="18"/>
        <v>3.546168577</v>
      </c>
      <c r="G50" s="2">
        <f t="shared" si="18"/>
        <v>3.131688706</v>
      </c>
      <c r="H50" s="2">
        <f t="shared" si="18"/>
        <v>2.669365242</v>
      </c>
      <c r="I50" s="2">
        <f t="shared" si="18"/>
        <v>2.460112181</v>
      </c>
      <c r="J50" s="2"/>
      <c r="K50" s="2"/>
    </row>
    <row r="51">
      <c r="A51" s="2" t="s">
        <v>121</v>
      </c>
      <c r="B51" s="2">
        <f>7/3.2808399</f>
        <v>2.133599997</v>
      </c>
      <c r="C51" s="2">
        <f>6/3.2808399</f>
        <v>1.828799997</v>
      </c>
      <c r="D51" s="2">
        <f t="shared" ref="D51:F51" si="19">4/3.2808399</f>
        <v>1.219199998</v>
      </c>
      <c r="E51" s="2">
        <f t="shared" si="19"/>
        <v>1.219199998</v>
      </c>
      <c r="F51" s="2">
        <f t="shared" si="19"/>
        <v>1.219199998</v>
      </c>
      <c r="G51" s="2">
        <f t="shared" ref="G51:H51" si="20">3/3.2808399</f>
        <v>0.9143999986</v>
      </c>
      <c r="H51" s="2">
        <f t="shared" si="20"/>
        <v>0.9143999986</v>
      </c>
      <c r="I51" s="2">
        <f>2/3.2808399</f>
        <v>0.6095999991</v>
      </c>
      <c r="J51" s="2"/>
      <c r="K51" s="2"/>
      <c r="L51" s="9"/>
    </row>
    <row r="52">
      <c r="A52" s="2" t="s">
        <v>122</v>
      </c>
      <c r="B52" s="2">
        <f>49.41/(3600)</f>
        <v>0.013725</v>
      </c>
      <c r="C52" s="2">
        <f>0.7475/3600</f>
        <v>0.0002076388889</v>
      </c>
      <c r="D52" s="9">
        <f>0.02565/3600</f>
        <v>0.000007125</v>
      </c>
      <c r="E52">
        <f>0.0174/3600</f>
        <v>0.000004833333333</v>
      </c>
      <c r="F52">
        <f>0.008971/3600</f>
        <v>0.000002491944444</v>
      </c>
      <c r="G52">
        <f>0.003815/3600</f>
        <v>0.000001059722222</v>
      </c>
      <c r="H52">
        <f>82.15/3600</f>
        <v>0.02281944444</v>
      </c>
      <c r="I52">
        <f>69.94/3600</f>
        <v>0.01942777778</v>
      </c>
    </row>
    <row r="53">
      <c r="A53" s="16" t="s">
        <v>123</v>
      </c>
      <c r="B53" s="2">
        <v>600.0</v>
      </c>
      <c r="C53">
        <v>600.0</v>
      </c>
      <c r="D53">
        <v>600.0</v>
      </c>
      <c r="E53">
        <v>600.0</v>
      </c>
      <c r="F53">
        <v>600.0</v>
      </c>
      <c r="G53">
        <v>600.0</v>
      </c>
      <c r="H53">
        <v>600.0</v>
      </c>
      <c r="I53">
        <v>600.0</v>
      </c>
    </row>
    <row r="54">
      <c r="A54" s="2" t="s">
        <v>124</v>
      </c>
      <c r="B54" s="2">
        <f t="shared" ref="B54:I54" si="21">B52*B53</f>
        <v>8.235</v>
      </c>
      <c r="C54" s="2">
        <f t="shared" si="21"/>
        <v>0.1245833333</v>
      </c>
      <c r="D54" s="2">
        <f t="shared" si="21"/>
        <v>0.004275</v>
      </c>
      <c r="E54" s="2">
        <f t="shared" si="21"/>
        <v>0.0029</v>
      </c>
      <c r="F54" s="2">
        <f t="shared" si="21"/>
        <v>0.001495166667</v>
      </c>
      <c r="G54" s="2">
        <f t="shared" si="21"/>
        <v>0.0006358333333</v>
      </c>
      <c r="H54" s="2">
        <f t="shared" si="21"/>
        <v>13.69166667</v>
      </c>
      <c r="I54" s="2">
        <f t="shared" si="21"/>
        <v>11.65666667</v>
      </c>
      <c r="J54" s="2"/>
      <c r="K54" s="2"/>
    </row>
    <row r="55">
      <c r="A55" s="2" t="s">
        <v>125</v>
      </c>
      <c r="B55" s="2">
        <f t="shared" ref="B55:I55" si="22">B54/(3.14*((B51^2)))*4</f>
        <v>2.304453466</v>
      </c>
      <c r="C55" s="2">
        <f t="shared" si="22"/>
        <v>0.0474523653</v>
      </c>
      <c r="D55" s="2">
        <f t="shared" si="22"/>
        <v>0.003663671749</v>
      </c>
      <c r="E55" s="2">
        <f t="shared" si="22"/>
        <v>0.002485297795</v>
      </c>
      <c r="F55" s="2">
        <f t="shared" si="22"/>
        <v>0.001281356696</v>
      </c>
      <c r="G55" s="2">
        <f t="shared" si="22"/>
        <v>0.0009687265479</v>
      </c>
      <c r="H55" s="2">
        <f t="shared" si="22"/>
        <v>20.85999631</v>
      </c>
      <c r="I55" s="2">
        <f t="shared" si="22"/>
        <v>39.95901788</v>
      </c>
      <c r="J55" s="2"/>
      <c r="K55" s="2"/>
    </row>
    <row r="56">
      <c r="A56" s="2" t="s">
        <v>126</v>
      </c>
      <c r="B56" s="2">
        <f t="shared" ref="B56:I56" si="23">B51/2+B51+0.4+B55</f>
        <v>5.904853461</v>
      </c>
      <c r="C56" s="2">
        <f t="shared" si="23"/>
        <v>3.190652361</v>
      </c>
      <c r="D56" s="2">
        <f t="shared" si="23"/>
        <v>2.232463669</v>
      </c>
      <c r="E56" s="2">
        <f t="shared" si="23"/>
        <v>2.231285295</v>
      </c>
      <c r="F56" s="2">
        <f t="shared" si="23"/>
        <v>2.230081354</v>
      </c>
      <c r="G56" s="2">
        <f t="shared" si="23"/>
        <v>1.772568724</v>
      </c>
      <c r="H56" s="2">
        <f t="shared" si="23"/>
        <v>22.6315963</v>
      </c>
      <c r="I56" s="2">
        <f t="shared" si="23"/>
        <v>41.27341788</v>
      </c>
      <c r="J56" s="2"/>
      <c r="K56" s="2"/>
    </row>
    <row r="57">
      <c r="A57" s="2" t="s">
        <v>127</v>
      </c>
      <c r="B57" s="16">
        <v>2385000.0</v>
      </c>
      <c r="C57" s="16">
        <v>2216000.0</v>
      </c>
      <c r="D57" s="16">
        <v>3994000.0</v>
      </c>
      <c r="E57" s="16">
        <v>7211000.0</v>
      </c>
      <c r="F57" s="16">
        <v>1.302E7</v>
      </c>
      <c r="G57" s="16">
        <v>2.35E7</v>
      </c>
      <c r="H57" s="16">
        <v>2.25E7</v>
      </c>
      <c r="I57" s="16">
        <v>500000.0</v>
      </c>
      <c r="J57" s="16"/>
      <c r="K57" s="16"/>
    </row>
    <row r="58">
      <c r="A58" s="27" t="s">
        <v>128</v>
      </c>
      <c r="B58" s="27">
        <f t="shared" ref="B58:I58" si="24">B57*1.1</f>
        <v>2623500</v>
      </c>
      <c r="C58" s="27">
        <f t="shared" si="24"/>
        <v>2437600</v>
      </c>
      <c r="D58" s="27">
        <f t="shared" si="24"/>
        <v>4393400</v>
      </c>
      <c r="E58" s="27">
        <f t="shared" si="24"/>
        <v>7932100</v>
      </c>
      <c r="F58" s="27">
        <f t="shared" si="24"/>
        <v>14322000</v>
      </c>
      <c r="G58" s="27">
        <f t="shared" si="24"/>
        <v>25850000</v>
      </c>
      <c r="H58" s="27">
        <f t="shared" si="24"/>
        <v>24750000</v>
      </c>
      <c r="I58" s="27">
        <f t="shared" si="24"/>
        <v>550000</v>
      </c>
      <c r="J58" s="27"/>
      <c r="K58" s="27"/>
    </row>
    <row r="59">
      <c r="A59" s="27" t="s">
        <v>129</v>
      </c>
      <c r="B59" s="27">
        <f t="shared" ref="B59:I59" si="25">89*(10^6)*1</f>
        <v>89000000</v>
      </c>
      <c r="C59" s="27">
        <f t="shared" si="25"/>
        <v>89000000</v>
      </c>
      <c r="D59">
        <f t="shared" si="25"/>
        <v>89000000</v>
      </c>
      <c r="E59">
        <f t="shared" si="25"/>
        <v>89000000</v>
      </c>
      <c r="F59">
        <f t="shared" si="25"/>
        <v>89000000</v>
      </c>
      <c r="G59">
        <f t="shared" si="25"/>
        <v>89000000</v>
      </c>
      <c r="H59">
        <f t="shared" si="25"/>
        <v>89000000</v>
      </c>
      <c r="I59">
        <f t="shared" si="25"/>
        <v>89000000</v>
      </c>
    </row>
    <row r="60">
      <c r="A60" s="16" t="s">
        <v>130</v>
      </c>
      <c r="B60" s="27">
        <f t="shared" ref="B60:I60" si="26">B58*B51/((2*B59)-(1.2*B58))</f>
        <v>0.03201282224</v>
      </c>
      <c r="C60" s="27">
        <f t="shared" si="26"/>
        <v>0.02546272128</v>
      </c>
      <c r="D60" s="27">
        <f t="shared" si="26"/>
        <v>0.03101081326</v>
      </c>
      <c r="E60" s="27">
        <f t="shared" si="26"/>
        <v>0.05739987745</v>
      </c>
      <c r="F60" s="27">
        <f t="shared" si="26"/>
        <v>0.1085815029</v>
      </c>
      <c r="G60" s="27">
        <f t="shared" si="26"/>
        <v>0.160819431</v>
      </c>
      <c r="H60" s="27">
        <f t="shared" si="26"/>
        <v>0.1526055291</v>
      </c>
      <c r="I60" s="27">
        <f t="shared" si="26"/>
        <v>0.001890605613</v>
      </c>
      <c r="J60" s="27"/>
      <c r="K60" s="27"/>
    </row>
    <row r="61">
      <c r="A61" s="27" t="s">
        <v>131</v>
      </c>
      <c r="B61" s="27">
        <v>8000.0</v>
      </c>
      <c r="C61" s="27">
        <v>8000.0</v>
      </c>
      <c r="D61" s="27">
        <v>8000.0</v>
      </c>
      <c r="E61" s="27">
        <v>8000.0</v>
      </c>
      <c r="F61" s="27">
        <v>8000.0</v>
      </c>
      <c r="G61" s="27">
        <v>8000.0</v>
      </c>
      <c r="H61" s="27">
        <v>8000.0</v>
      </c>
      <c r="I61" s="27">
        <v>8000.0</v>
      </c>
      <c r="J61" s="27"/>
      <c r="K61" s="27"/>
    </row>
    <row r="62">
      <c r="A62" s="27" t="s">
        <v>132</v>
      </c>
      <c r="B62" s="27">
        <f t="shared" ref="B62:I62" si="27">3.14*B51*B56*B60*$B61</f>
        <v>10131.31281</v>
      </c>
      <c r="C62" s="27">
        <f t="shared" si="27"/>
        <v>3732.245059</v>
      </c>
      <c r="D62" s="27">
        <f t="shared" si="27"/>
        <v>2120.274763</v>
      </c>
      <c r="E62" s="27">
        <f t="shared" si="27"/>
        <v>3922.479269</v>
      </c>
      <c r="F62" s="27">
        <f t="shared" si="27"/>
        <v>7416.024287</v>
      </c>
      <c r="G62" s="27">
        <f t="shared" si="27"/>
        <v>6547.830901</v>
      </c>
      <c r="H62" s="27">
        <f t="shared" si="27"/>
        <v>79330.70402</v>
      </c>
      <c r="I62" s="27">
        <f t="shared" si="27"/>
        <v>1194.912131</v>
      </c>
      <c r="J62" s="27"/>
      <c r="K62" s="27"/>
    </row>
    <row r="63">
      <c r="A63" s="27" t="s">
        <v>56</v>
      </c>
      <c r="B63" s="27">
        <v>15000.0</v>
      </c>
    </row>
    <row r="64">
      <c r="A64" s="27" t="s">
        <v>58</v>
      </c>
      <c r="B64" s="27">
        <v>68.0</v>
      </c>
    </row>
    <row r="65">
      <c r="A65" s="27" t="s">
        <v>59</v>
      </c>
      <c r="B65" s="2">
        <v>0.85</v>
      </c>
    </row>
    <row r="66">
      <c r="A66" s="27" t="s">
        <v>133</v>
      </c>
      <c r="B66" s="27">
        <f t="shared" ref="B66:I66" si="28">$B63+$B64*(B62)^
$B$65</f>
        <v>187712.9008</v>
      </c>
      <c r="C66" s="27">
        <f t="shared" si="28"/>
        <v>88906.65416</v>
      </c>
      <c r="D66" s="27">
        <f t="shared" si="28"/>
        <v>60702.73971</v>
      </c>
      <c r="E66" s="27">
        <f t="shared" si="28"/>
        <v>92096.64353</v>
      </c>
      <c r="F66" s="27">
        <f t="shared" si="28"/>
        <v>147481.2401</v>
      </c>
      <c r="G66" s="27">
        <f t="shared" si="28"/>
        <v>134176.8081</v>
      </c>
      <c r="H66" s="27">
        <f t="shared" si="28"/>
        <v>1008193.857</v>
      </c>
      <c r="I66" s="27">
        <f t="shared" si="28"/>
        <v>43070.13411</v>
      </c>
      <c r="J66" s="27"/>
      <c r="K66" s="27"/>
    </row>
    <row r="67">
      <c r="A67" s="27"/>
      <c r="B67" s="2"/>
    </row>
    <row r="68">
      <c r="A68" s="30" t="s">
        <v>61</v>
      </c>
      <c r="B68" s="19">
        <f>D68*A4</f>
        <v>15918983.83</v>
      </c>
      <c r="C68" s="31" t="s">
        <v>62</v>
      </c>
      <c r="D68" s="32">
        <f>sum(B66:I66)</f>
        <v>1762340.978</v>
      </c>
      <c r="K68" s="2"/>
    </row>
    <row r="69">
      <c r="A69" s="16"/>
      <c r="B69" s="9"/>
      <c r="K69" s="2"/>
    </row>
    <row r="70">
      <c r="A70" s="2"/>
      <c r="K70" s="2"/>
    </row>
    <row r="71">
      <c r="A71" s="57" t="s">
        <v>134</v>
      </c>
      <c r="B71" s="36"/>
      <c r="C71" s="36" t="s">
        <v>135</v>
      </c>
      <c r="D71" s="36" t="s">
        <v>136</v>
      </c>
      <c r="E71" s="36" t="s">
        <v>137</v>
      </c>
      <c r="F71" s="37" t="s">
        <v>138</v>
      </c>
      <c r="G71" s="9" t="s">
        <v>25</v>
      </c>
      <c r="K71" s="2"/>
    </row>
    <row r="72">
      <c r="A72" s="58" t="s">
        <v>139</v>
      </c>
      <c r="B72" s="46"/>
      <c r="C72" s="46"/>
      <c r="D72" s="27"/>
      <c r="E72" s="27"/>
      <c r="F72" s="27"/>
      <c r="K72" s="2"/>
    </row>
    <row r="73">
      <c r="A73" s="58" t="s">
        <v>140</v>
      </c>
      <c r="B73" s="46"/>
      <c r="C73" s="59">
        <v>1.5</v>
      </c>
      <c r="D73">
        <v>1.5</v>
      </c>
      <c r="E73">
        <v>1.5</v>
      </c>
      <c r="F73">
        <v>1.5</v>
      </c>
      <c r="H73" s="9" t="s">
        <v>141</v>
      </c>
      <c r="K73" s="2"/>
    </row>
    <row r="74">
      <c r="A74" s="58" t="s">
        <v>56</v>
      </c>
      <c r="B74" s="59">
        <v>110.0</v>
      </c>
      <c r="C74" s="41"/>
      <c r="D74" s="16"/>
      <c r="E74" s="16"/>
      <c r="F74" s="16"/>
      <c r="K74" s="2"/>
    </row>
    <row r="75">
      <c r="A75" s="58" t="s">
        <v>58</v>
      </c>
      <c r="B75" s="59">
        <v>380.0</v>
      </c>
      <c r="C75" s="46"/>
      <c r="K75" s="2"/>
    </row>
    <row r="76">
      <c r="A76" s="58" t="s">
        <v>59</v>
      </c>
      <c r="B76" s="59">
        <v>1.8</v>
      </c>
      <c r="C76" s="46"/>
      <c r="K76" s="2"/>
    </row>
    <row r="77">
      <c r="A77" s="60" t="s">
        <v>142</v>
      </c>
      <c r="B77" s="46"/>
      <c r="C77" s="59">
        <f t="shared" ref="C77:F77" si="29">$B$74+$B$75*(C73)^$B$76</f>
        <v>898.4022643</v>
      </c>
      <c r="D77">
        <f t="shared" si="29"/>
        <v>898.4022643</v>
      </c>
      <c r="E77">
        <f t="shared" si="29"/>
        <v>898.4022643</v>
      </c>
      <c r="F77">
        <f t="shared" si="29"/>
        <v>898.4022643</v>
      </c>
      <c r="G77">
        <f>sum(C77:F77)</f>
        <v>3593.609057</v>
      </c>
      <c r="K77" s="2"/>
    </row>
    <row r="78">
      <c r="A78" s="61" t="s">
        <v>143</v>
      </c>
      <c r="B78" s="61">
        <v>2.5</v>
      </c>
      <c r="C78" s="61" t="s">
        <v>144</v>
      </c>
      <c r="D78" s="27"/>
      <c r="E78" s="27"/>
      <c r="F78" s="27"/>
      <c r="K78" s="2"/>
    </row>
    <row r="79">
      <c r="A79" s="62" t="s">
        <v>128</v>
      </c>
      <c r="C79" s="9">
        <f t="shared" ref="C79:F79" si="30">2365000*1.1</f>
        <v>2601500</v>
      </c>
      <c r="D79" s="9">
        <f t="shared" si="30"/>
        <v>2601500</v>
      </c>
      <c r="E79" s="9">
        <f t="shared" si="30"/>
        <v>2601500</v>
      </c>
      <c r="F79" s="9">
        <f t="shared" si="30"/>
        <v>2601500</v>
      </c>
      <c r="K79" s="2"/>
    </row>
    <row r="80">
      <c r="A80" s="62" t="s">
        <v>84</v>
      </c>
      <c r="C80">
        <f t="shared" ref="C80:F80" si="31">(C79*C73)/((2*B59)-(1.2*C79))</f>
        <v>0.02231410204</v>
      </c>
      <c r="D80">
        <f t="shared" si="31"/>
        <v>0.02231410204</v>
      </c>
      <c r="E80">
        <f t="shared" si="31"/>
        <v>0.02231410204</v>
      </c>
      <c r="F80">
        <f t="shared" si="31"/>
        <v>0.02231410204</v>
      </c>
      <c r="K80" s="2"/>
    </row>
    <row r="81">
      <c r="A81" s="46" t="s">
        <v>145</v>
      </c>
      <c r="B81" s="46"/>
      <c r="C81" s="45">
        <f t="shared" ref="C81:F81" si="32">(3.15*(C73^2)/4)*C82</f>
        <v>16.8328125</v>
      </c>
      <c r="D81" s="45">
        <f t="shared" si="32"/>
        <v>16.8328125</v>
      </c>
      <c r="E81" s="45">
        <f t="shared" si="32"/>
        <v>16.8328125</v>
      </c>
      <c r="F81" s="45">
        <f t="shared" si="32"/>
        <v>16.8328125</v>
      </c>
      <c r="K81" s="2"/>
    </row>
    <row r="82">
      <c r="A82" s="46" t="s">
        <v>146</v>
      </c>
      <c r="B82" s="46"/>
      <c r="C82" s="45">
        <f t="shared" ref="C82:F82" si="33">15*0.5+2</f>
        <v>9.5</v>
      </c>
      <c r="D82" s="45">
        <f t="shared" si="33"/>
        <v>9.5</v>
      </c>
      <c r="E82" s="45">
        <f t="shared" si="33"/>
        <v>9.5</v>
      </c>
      <c r="F82" s="45">
        <f t="shared" si="33"/>
        <v>9.5</v>
      </c>
      <c r="H82" s="9" t="s">
        <v>147</v>
      </c>
      <c r="K82" s="2"/>
    </row>
    <row r="83">
      <c r="A83" s="46" t="s">
        <v>148</v>
      </c>
      <c r="B83" s="46"/>
      <c r="C83" s="45">
        <f t="shared" ref="C83:F83" si="34">C81-((3.14*((C73-C80*2)^2)/4)*C82)</f>
        <v>1.037029068</v>
      </c>
      <c r="D83" s="45">
        <f t="shared" si="34"/>
        <v>1.037029068</v>
      </c>
      <c r="E83" s="45">
        <f t="shared" si="34"/>
        <v>1.037029068</v>
      </c>
      <c r="F83" s="45">
        <f t="shared" si="34"/>
        <v>1.037029068</v>
      </c>
      <c r="K83" s="2"/>
    </row>
    <row r="84">
      <c r="A84" s="46" t="s">
        <v>149</v>
      </c>
      <c r="B84" s="46"/>
      <c r="C84" s="45">
        <f t="shared" ref="C84:F84" si="35">(3.14*(C73^2)/4)*C80*2</f>
        <v>0.07882456547</v>
      </c>
      <c r="D84" s="45">
        <f t="shared" si="35"/>
        <v>0.07882456547</v>
      </c>
      <c r="E84" s="45">
        <f t="shared" si="35"/>
        <v>0.07882456547</v>
      </c>
      <c r="F84" s="45">
        <f t="shared" si="35"/>
        <v>0.07882456547</v>
      </c>
      <c r="K84" s="2"/>
    </row>
    <row r="85">
      <c r="A85" s="46" t="s">
        <v>150</v>
      </c>
      <c r="B85" s="46"/>
      <c r="C85" s="45">
        <f t="shared" ref="C85:F85" si="36">C84+C83</f>
        <v>1.115853633</v>
      </c>
      <c r="D85" s="45">
        <f t="shared" si="36"/>
        <v>1.115853633</v>
      </c>
      <c r="E85" s="45">
        <f t="shared" si="36"/>
        <v>1.115853633</v>
      </c>
      <c r="F85" s="45">
        <f t="shared" si="36"/>
        <v>1.115853633</v>
      </c>
      <c r="K85" s="2"/>
    </row>
    <row r="86">
      <c r="A86" s="46" t="s">
        <v>151</v>
      </c>
      <c r="B86" s="46"/>
      <c r="C86" s="45">
        <f t="shared" ref="C86:F86" si="37">8.03*1000</f>
        <v>8030</v>
      </c>
      <c r="D86" s="45">
        <f t="shared" si="37"/>
        <v>8030</v>
      </c>
      <c r="E86" s="45">
        <f t="shared" si="37"/>
        <v>8030</v>
      </c>
      <c r="F86" s="45">
        <f t="shared" si="37"/>
        <v>8030</v>
      </c>
      <c r="K86" s="2"/>
    </row>
    <row r="87">
      <c r="A87" s="58" t="s">
        <v>152</v>
      </c>
      <c r="B87" s="46"/>
      <c r="C87" s="59">
        <f t="shared" ref="C87:F87" si="38">C86*C85</f>
        <v>8960.304674</v>
      </c>
      <c r="D87" s="59">
        <f t="shared" si="38"/>
        <v>8960.304674</v>
      </c>
      <c r="E87" s="59">
        <f t="shared" si="38"/>
        <v>8960.304674</v>
      </c>
      <c r="F87" s="59">
        <f t="shared" si="38"/>
        <v>8960.304674</v>
      </c>
      <c r="K87" s="2"/>
    </row>
    <row r="88">
      <c r="A88" s="63" t="s">
        <v>56</v>
      </c>
      <c r="B88" s="64">
        <v>15000.0</v>
      </c>
      <c r="C88" s="46"/>
      <c r="D88" s="27"/>
      <c r="K88" s="2"/>
    </row>
    <row r="89">
      <c r="A89" s="63" t="s">
        <v>58</v>
      </c>
      <c r="B89" s="59">
        <v>68.0</v>
      </c>
      <c r="C89" s="46"/>
      <c r="K89" s="2"/>
    </row>
    <row r="90">
      <c r="A90" s="58" t="s">
        <v>59</v>
      </c>
      <c r="B90" s="64">
        <v>0.85</v>
      </c>
      <c r="C90" s="46"/>
      <c r="K90" s="2"/>
    </row>
    <row r="91">
      <c r="A91" s="65" t="s">
        <v>153</v>
      </c>
      <c r="B91" s="46"/>
      <c r="C91" s="59">
        <f t="shared" ref="C91:F91" si="39">$B$88+$B$89*(C87)^$B$90</f>
        <v>170590.5705</v>
      </c>
      <c r="D91" s="59">
        <f t="shared" si="39"/>
        <v>170590.5705</v>
      </c>
      <c r="E91" s="59">
        <f t="shared" si="39"/>
        <v>170590.5705</v>
      </c>
      <c r="F91" s="59">
        <f t="shared" si="39"/>
        <v>170590.5705</v>
      </c>
      <c r="G91">
        <f>sum(C91:F91)</f>
        <v>682362.282</v>
      </c>
      <c r="K91" s="2"/>
    </row>
    <row r="92">
      <c r="A92" s="30" t="s">
        <v>61</v>
      </c>
      <c r="B92" s="19">
        <f>D92*A4</f>
        <v>6196145.283</v>
      </c>
      <c r="C92" s="52" t="s">
        <v>62</v>
      </c>
      <c r="D92" s="32">
        <f>G77+G91</f>
        <v>685955.8911</v>
      </c>
      <c r="K92" s="2"/>
    </row>
    <row r="93">
      <c r="I93" s="66" t="s">
        <v>154</v>
      </c>
      <c r="J93" s="67"/>
      <c r="K93" s="46" t="s">
        <v>155</v>
      </c>
      <c r="L93" s="58" t="s">
        <v>156</v>
      </c>
      <c r="M93" s="46" t="s">
        <v>157</v>
      </c>
      <c r="N93" s="58" t="s">
        <v>158</v>
      </c>
    </row>
    <row r="94">
      <c r="I94" s="46" t="s">
        <v>159</v>
      </c>
      <c r="J94" s="67"/>
      <c r="K94" s="59">
        <f t="shared" ref="K94:N94" si="40">2261*1000/3600</f>
        <v>628.0555556</v>
      </c>
      <c r="L94" s="59">
        <f t="shared" si="40"/>
        <v>628.0555556</v>
      </c>
      <c r="M94" s="59">
        <f t="shared" si="40"/>
        <v>628.0555556</v>
      </c>
      <c r="N94" s="59">
        <f t="shared" si="40"/>
        <v>628.0555556</v>
      </c>
    </row>
    <row r="95">
      <c r="I95" s="46" t="s">
        <v>56</v>
      </c>
      <c r="J95" s="45">
        <v>6900.0</v>
      </c>
      <c r="K95" s="67"/>
      <c r="L95" s="67"/>
      <c r="M95" s="67"/>
      <c r="N95" s="67"/>
    </row>
    <row r="96">
      <c r="E96" s="68" t="s">
        <v>160</v>
      </c>
      <c r="F96" s="46"/>
      <c r="G96" s="46" t="s">
        <v>33</v>
      </c>
      <c r="I96" s="46" t="s">
        <v>58</v>
      </c>
      <c r="J96" s="45">
        <v>206.0</v>
      </c>
      <c r="K96" s="67"/>
      <c r="L96" s="67"/>
      <c r="M96" s="67"/>
      <c r="N96" s="67"/>
    </row>
    <row r="97">
      <c r="A97" s="9" t="s">
        <v>161</v>
      </c>
      <c r="B97">
        <f>1.7</f>
        <v>1.7</v>
      </c>
      <c r="E97" s="46"/>
      <c r="F97" s="45"/>
      <c r="G97" s="46"/>
      <c r="I97" s="46" t="s">
        <v>59</v>
      </c>
      <c r="J97" s="45">
        <v>0.9</v>
      </c>
      <c r="K97" s="67"/>
      <c r="L97" s="67"/>
      <c r="M97" s="67"/>
      <c r="N97" s="67"/>
    </row>
    <row r="98">
      <c r="A98" s="16" t="s">
        <v>162</v>
      </c>
      <c r="B98" s="9">
        <v>1.3</v>
      </c>
      <c r="E98" s="46"/>
      <c r="F98" s="45"/>
      <c r="G98" s="46"/>
      <c r="I98" s="46" t="s">
        <v>163</v>
      </c>
      <c r="J98" s="67"/>
      <c r="K98" s="69">
        <f t="shared" ref="K98:N98" si="41">$J$95+$J$96*(K94)^$J$97</f>
        <v>74830.60395</v>
      </c>
      <c r="L98" s="69">
        <f t="shared" si="41"/>
        <v>74830.60395</v>
      </c>
      <c r="M98" s="69">
        <f t="shared" si="41"/>
        <v>74830.60395</v>
      </c>
      <c r="N98" s="69">
        <f t="shared" si="41"/>
        <v>74830.60395</v>
      </c>
    </row>
    <row r="99">
      <c r="A99" s="16" t="s">
        <v>164</v>
      </c>
      <c r="B99" s="9">
        <v>0.3</v>
      </c>
      <c r="E99" s="41" t="s">
        <v>165</v>
      </c>
      <c r="F99" s="70">
        <v>43239.0</v>
      </c>
      <c r="G99" s="46" t="s">
        <v>166</v>
      </c>
      <c r="I99" s="46" t="s">
        <v>167</v>
      </c>
      <c r="J99" s="67"/>
      <c r="K99" s="71">
        <v>1732.0</v>
      </c>
      <c r="L99" s="71">
        <v>1732.0</v>
      </c>
      <c r="M99" s="71">
        <v>1732.0</v>
      </c>
      <c r="N99" s="71">
        <v>1732.0</v>
      </c>
    </row>
    <row r="100">
      <c r="A100" s="16" t="s">
        <v>168</v>
      </c>
      <c r="B100" s="9">
        <v>0.8</v>
      </c>
      <c r="E100" s="41" t="s">
        <v>169</v>
      </c>
      <c r="F100" s="70">
        <v>90495.1</v>
      </c>
      <c r="G100" s="46" t="s">
        <v>166</v>
      </c>
      <c r="I100" s="46" t="s">
        <v>56</v>
      </c>
      <c r="J100" s="45">
        <v>-950.0</v>
      </c>
      <c r="K100" s="67"/>
      <c r="L100" s="67"/>
      <c r="M100" s="67"/>
      <c r="N100" s="67"/>
    </row>
    <row r="101">
      <c r="A101" s="16" t="s">
        <v>170</v>
      </c>
      <c r="B101" s="9">
        <v>0.3</v>
      </c>
      <c r="E101" s="46" t="s">
        <v>171</v>
      </c>
      <c r="F101" s="45">
        <f>-242/3600</f>
        <v>-0.06722222222</v>
      </c>
      <c r="G101" s="46"/>
      <c r="I101" s="46" t="s">
        <v>58</v>
      </c>
      <c r="J101" s="45">
        <v>1770.0</v>
      </c>
      <c r="K101" s="67"/>
      <c r="L101" s="67"/>
      <c r="M101" s="67"/>
      <c r="N101" s="67"/>
    </row>
    <row r="102">
      <c r="A102" s="16" t="s">
        <v>172</v>
      </c>
      <c r="B102" s="9">
        <v>0.2</v>
      </c>
      <c r="E102" s="72" t="s">
        <v>173</v>
      </c>
      <c r="F102" s="45">
        <f>((-2*242-394)+74)/3600</f>
        <v>-0.2233333333</v>
      </c>
      <c r="G102" s="46"/>
      <c r="I102" s="46" t="s">
        <v>59</v>
      </c>
      <c r="J102" s="45">
        <v>0.6</v>
      </c>
      <c r="K102" s="67"/>
      <c r="L102" s="67"/>
      <c r="M102" s="67"/>
      <c r="N102" s="67"/>
    </row>
    <row r="103">
      <c r="A103" s="16" t="s">
        <v>174</v>
      </c>
      <c r="B103" s="9">
        <v>0.3</v>
      </c>
      <c r="E103" s="46" t="s">
        <v>175</v>
      </c>
      <c r="F103" s="45">
        <f>190884469.7/(3600)</f>
        <v>53023.46381</v>
      </c>
      <c r="G103" s="46"/>
      <c r="I103" s="46" t="s">
        <v>163</v>
      </c>
      <c r="J103" s="67"/>
      <c r="K103" s="45">
        <f t="shared" ref="K103:N103" si="42">$J$100+$J$101*(K99)^$J$102</f>
        <v>154325.1648</v>
      </c>
      <c r="L103" s="45">
        <f t="shared" si="42"/>
        <v>154325.1648</v>
      </c>
      <c r="M103" s="45">
        <f t="shared" si="42"/>
        <v>154325.1648</v>
      </c>
      <c r="N103" s="45">
        <f t="shared" si="42"/>
        <v>154325.1648</v>
      </c>
    </row>
    <row r="104">
      <c r="A104" s="16" t="s">
        <v>176</v>
      </c>
      <c r="B104" s="9">
        <v>0.2</v>
      </c>
      <c r="E104" s="46" t="s">
        <v>177</v>
      </c>
      <c r="F104" s="45">
        <f>F99*F102*0.6</f>
        <v>-5794.026</v>
      </c>
      <c r="G104" s="46"/>
      <c r="I104" s="30" t="s">
        <v>61</v>
      </c>
      <c r="J104" s="19">
        <f>L104*A4</f>
        <v>10763649.33</v>
      </c>
      <c r="K104" s="73" t="s">
        <v>62</v>
      </c>
      <c r="L104" s="74">
        <f>(sum(K98:N98)+sum(K103:N103))*J105</f>
        <v>1191609.998</v>
      </c>
      <c r="M104" s="67"/>
      <c r="N104" s="67"/>
    </row>
    <row r="105">
      <c r="A105" s="16" t="s">
        <v>178</v>
      </c>
      <c r="B105" s="9">
        <v>0.1</v>
      </c>
      <c r="E105" s="75" t="s">
        <v>179</v>
      </c>
      <c r="F105" s="59">
        <f>F100*F101*0.6</f>
        <v>-3649.969033</v>
      </c>
      <c r="G105" s="46"/>
      <c r="I105" s="58" t="s">
        <v>162</v>
      </c>
      <c r="J105" s="45">
        <v>1.3</v>
      </c>
      <c r="K105" s="67"/>
      <c r="L105" s="67"/>
      <c r="M105" s="67"/>
      <c r="N105" s="67"/>
    </row>
    <row r="106">
      <c r="A106" s="16" t="s">
        <v>180</v>
      </c>
      <c r="B106" s="9">
        <v>0.3</v>
      </c>
      <c r="E106" s="58" t="s">
        <v>181</v>
      </c>
      <c r="F106" s="59">
        <f>F103+F104+F105</f>
        <v>43579.46877</v>
      </c>
      <c r="G106" s="46"/>
      <c r="K106" s="2"/>
    </row>
    <row r="107">
      <c r="A107" s="16" t="s">
        <v>182</v>
      </c>
      <c r="B107" s="9">
        <v>0.3</v>
      </c>
      <c r="E107" s="58" t="s">
        <v>183</v>
      </c>
      <c r="F107" s="76">
        <v>274685.12</v>
      </c>
      <c r="G107" s="40">
        <f>F107</f>
        <v>274685.12</v>
      </c>
      <c r="K107" s="2"/>
    </row>
    <row r="108">
      <c r="A108" s="16" t="s">
        <v>184</v>
      </c>
      <c r="B108" s="9">
        <v>0.1</v>
      </c>
      <c r="E108" s="58" t="s">
        <v>185</v>
      </c>
      <c r="F108" s="59">
        <f>(2*(F107+F99)+0.5*F100)</f>
        <v>681095.79</v>
      </c>
      <c r="G108" s="58" t="s">
        <v>186</v>
      </c>
      <c r="K108" s="2"/>
    </row>
    <row r="109">
      <c r="A109" s="16" t="s">
        <v>187</v>
      </c>
      <c r="B109">
        <f>B92+B68+B40+B29+B17+J104</f>
        <v>373932720.9</v>
      </c>
      <c r="E109" s="58" t="s">
        <v>188</v>
      </c>
      <c r="F109" s="59">
        <f>F108/0.21</f>
        <v>3243313.286</v>
      </c>
      <c r="G109" s="46"/>
      <c r="K109" s="2"/>
    </row>
    <row r="110">
      <c r="A110" s="16" t="s">
        <v>189</v>
      </c>
      <c r="B110">
        <f>B109*((1+B100)+(B99+B102+B101+B103+B104+B105)/B98)</f>
        <v>1075775674</v>
      </c>
      <c r="E110" s="58" t="s">
        <v>190</v>
      </c>
      <c r="F110" s="59">
        <f>F109*0.78</f>
        <v>2529784.363</v>
      </c>
      <c r="G110" s="58" t="s">
        <v>191</v>
      </c>
      <c r="K110" s="2"/>
    </row>
    <row r="111">
      <c r="A111" s="9" t="s">
        <v>192</v>
      </c>
      <c r="B111">
        <f>P28*((1+B100)+(B99+B102+B101+B103+B104+B105)/B97)</f>
        <v>18579999.03</v>
      </c>
      <c r="E111" s="58" t="s">
        <v>193</v>
      </c>
      <c r="F111" s="59">
        <f>F109*0.01</f>
        <v>32433.13286</v>
      </c>
      <c r="G111" s="46"/>
      <c r="K111" s="2"/>
    </row>
    <row r="112">
      <c r="A112" s="9" t="s">
        <v>194</v>
      </c>
      <c r="B112">
        <f>B111+B110</f>
        <v>1094355673</v>
      </c>
      <c r="C112" s="9" t="s">
        <v>195</v>
      </c>
      <c r="E112" s="58" t="s">
        <v>196</v>
      </c>
      <c r="F112" s="59">
        <f>F99+F107</f>
        <v>317924.12</v>
      </c>
      <c r="G112" s="46"/>
      <c r="K112" s="2"/>
    </row>
    <row r="113">
      <c r="A113" s="9" t="s">
        <v>197</v>
      </c>
      <c r="B113">
        <f>B112*(1+B106)*(1+B107+B108)</f>
        <v>1991727325</v>
      </c>
      <c r="E113" s="58" t="s">
        <v>198</v>
      </c>
      <c r="F113" s="45">
        <f>(F99+F107)*2+F100</f>
        <v>726343.34</v>
      </c>
      <c r="G113" s="46"/>
      <c r="K113" s="2"/>
    </row>
    <row r="114">
      <c r="A114" s="9"/>
      <c r="E114" s="58" t="s">
        <v>199</v>
      </c>
      <c r="F114" s="45">
        <f>F110+F111+F112+F113</f>
        <v>3606484.956</v>
      </c>
      <c r="G114" s="46"/>
      <c r="K114" s="2"/>
    </row>
    <row r="115">
      <c r="A115" s="16" t="s">
        <v>200</v>
      </c>
      <c r="B115">
        <f>C9</f>
        <v>13256.30284</v>
      </c>
      <c r="E115" s="77" t="s">
        <v>201</v>
      </c>
      <c r="F115" s="45">
        <f>F110/F114</f>
        <v>0.7014542952</v>
      </c>
      <c r="G115" s="46"/>
      <c r="K115" s="2"/>
    </row>
    <row r="116">
      <c r="A116" s="78" t="s">
        <v>202</v>
      </c>
      <c r="B116" s="79">
        <f>B113</f>
        <v>1991727325</v>
      </c>
      <c r="E116" s="58" t="s">
        <v>203</v>
      </c>
      <c r="F116" s="45">
        <f>F111/F114</f>
        <v>0.008993003785</v>
      </c>
      <c r="G116" s="46"/>
      <c r="K116" s="2"/>
    </row>
    <row r="117">
      <c r="A117" s="16" t="s">
        <v>204</v>
      </c>
      <c r="B117">
        <f>B115-B116</f>
        <v>-1991714068</v>
      </c>
      <c r="D117">
        <f>-26244445.9</f>
        <v>-26244445.9</v>
      </c>
      <c r="E117" s="58" t="s">
        <v>205</v>
      </c>
      <c r="F117" s="59">
        <f>F112/F114</f>
        <v>0.08815345798</v>
      </c>
      <c r="G117" s="46"/>
      <c r="K117" s="2"/>
    </row>
    <row r="118">
      <c r="E118" s="58" t="s">
        <v>206</v>
      </c>
      <c r="F118" s="59">
        <f>F113/F114</f>
        <v>0.201399243</v>
      </c>
      <c r="G118" s="46"/>
      <c r="K118" s="2"/>
    </row>
    <row r="119">
      <c r="E119" s="58" t="s">
        <v>207</v>
      </c>
      <c r="F119" s="59">
        <f>29.124</f>
        <v>29.124</v>
      </c>
      <c r="G119" s="46" t="s">
        <v>208</v>
      </c>
      <c r="K119" s="2"/>
    </row>
    <row r="120">
      <c r="A120" s="46" t="s">
        <v>209</v>
      </c>
      <c r="B120" s="45">
        <f>F125</f>
        <v>10607.3064</v>
      </c>
      <c r="C120" s="61" t="s">
        <v>210</v>
      </c>
      <c r="D120" s="46"/>
      <c r="E120" s="58" t="s">
        <v>211</v>
      </c>
      <c r="F120" s="45">
        <f>20.786</f>
        <v>20.786</v>
      </c>
      <c r="G120" s="46"/>
      <c r="K120" s="2"/>
    </row>
    <row r="121">
      <c r="A121" s="46" t="s">
        <v>212</v>
      </c>
      <c r="B121" s="45">
        <f>B120*0.3</f>
        <v>3182.19192</v>
      </c>
      <c r="C121" s="61" t="s">
        <v>210</v>
      </c>
      <c r="D121" s="46"/>
      <c r="E121" s="58" t="s">
        <v>213</v>
      </c>
      <c r="F121" s="45">
        <v>49.4675</v>
      </c>
      <c r="G121" s="46"/>
      <c r="K121" s="2"/>
    </row>
    <row r="122">
      <c r="A122" s="58" t="s">
        <v>214</v>
      </c>
      <c r="B122" s="45">
        <f>I140</f>
        <v>5084.931229</v>
      </c>
      <c r="C122" s="46"/>
      <c r="D122" s="46"/>
      <c r="E122" s="58" t="s">
        <v>215</v>
      </c>
      <c r="F122" s="45">
        <v>38.247</v>
      </c>
      <c r="G122" s="46"/>
      <c r="K122" s="2"/>
    </row>
    <row r="123">
      <c r="A123" s="46" t="s">
        <v>216</v>
      </c>
      <c r="B123" s="45">
        <f>20*10^3</f>
        <v>20000</v>
      </c>
      <c r="C123" s="46"/>
      <c r="D123" s="46"/>
      <c r="E123" s="77" t="s">
        <v>217</v>
      </c>
      <c r="F123" s="45">
        <f>(F119*F115+F120*F116+F121*F117+F122*F118)/(3600*10^3)</f>
        <v>0.000009077703195</v>
      </c>
      <c r="G123" s="46"/>
      <c r="K123" s="2"/>
    </row>
    <row r="124">
      <c r="A124" s="58" t="s">
        <v>218</v>
      </c>
      <c r="B124" s="45">
        <f>G140</f>
        <v>23139.81928</v>
      </c>
      <c r="C124" s="46"/>
      <c r="D124" s="46"/>
      <c r="E124" s="46" t="s">
        <v>219</v>
      </c>
      <c r="F124" s="45">
        <f>F114*F123*(1033-493)</f>
        <v>17678.844</v>
      </c>
      <c r="G124" s="58" t="s">
        <v>220</v>
      </c>
      <c r="K124" s="2"/>
    </row>
    <row r="125">
      <c r="A125" s="58" t="s">
        <v>221</v>
      </c>
      <c r="B125" s="70">
        <v>45150.0</v>
      </c>
      <c r="C125" s="46"/>
      <c r="D125" s="46"/>
      <c r="E125" s="46" t="s">
        <v>222</v>
      </c>
      <c r="F125" s="45">
        <f>F124*0.6</f>
        <v>10607.3064</v>
      </c>
      <c r="G125" s="46"/>
      <c r="K125" s="2"/>
    </row>
    <row r="126">
      <c r="A126" s="46" t="s">
        <v>223</v>
      </c>
      <c r="B126">
        <f>B125* 270*8.26876804/1000</f>
        <v>100800.4168</v>
      </c>
      <c r="C126" s="46"/>
      <c r="D126" s="46"/>
      <c r="E126" s="58" t="s">
        <v>224</v>
      </c>
      <c r="F126" s="45">
        <f>(G107*16)/1000</f>
        <v>4394.96192</v>
      </c>
      <c r="G126" s="46"/>
      <c r="K126" s="2"/>
    </row>
    <row r="127">
      <c r="A127" s="61" t="s">
        <v>225</v>
      </c>
      <c r="B127" s="46">
        <f>M137</f>
        <v>7195.920884</v>
      </c>
      <c r="C127" s="46"/>
      <c r="D127" s="46"/>
      <c r="E127" s="46"/>
      <c r="F127" s="46"/>
      <c r="G127" s="46"/>
      <c r="K127" s="2"/>
    </row>
    <row r="128">
      <c r="A128" s="46"/>
      <c r="B128" s="46"/>
      <c r="C128" s="46"/>
      <c r="D128" s="46"/>
      <c r="E128" s="59">
        <f>0</f>
        <v>0</v>
      </c>
      <c r="F128" s="59">
        <f>(F107+F99)*F102+(F100*F101)+F103+(F114*F123*(1033-298))</f>
        <v>-0.000380372916</v>
      </c>
      <c r="G128" s="46"/>
      <c r="K128" s="2"/>
    </row>
    <row r="129">
      <c r="A129" s="46"/>
      <c r="B129" s="46"/>
      <c r="C129" s="46"/>
      <c r="D129" s="46"/>
      <c r="K129" s="2"/>
    </row>
    <row r="130">
      <c r="A130" s="58" t="s">
        <v>226</v>
      </c>
      <c r="B130" s="45">
        <v>0.3</v>
      </c>
      <c r="C130" s="46"/>
      <c r="D130" s="46"/>
      <c r="K130" s="2"/>
    </row>
    <row r="131">
      <c r="A131" s="58" t="s">
        <v>227</v>
      </c>
      <c r="B131" s="45">
        <f>((4.21*8.26876804)/293.297222)</f>
        <v>0.1186902256</v>
      </c>
      <c r="C131" s="46" t="s">
        <v>228</v>
      </c>
      <c r="D131" s="45">
        <f>0.3*10^3/3.6</f>
        <v>83.33333333</v>
      </c>
      <c r="F131" s="80" t="s">
        <v>229</v>
      </c>
      <c r="G131" s="81">
        <f>24.37</f>
        <v>24.37</v>
      </c>
      <c r="H131" s="46" t="s">
        <v>230</v>
      </c>
      <c r="I131" s="81">
        <f>24.37</f>
        <v>24.37</v>
      </c>
      <c r="K131" s="82" t="s">
        <v>231</v>
      </c>
      <c r="L131" s="82"/>
      <c r="M131" s="82"/>
    </row>
    <row r="132">
      <c r="A132" s="46"/>
      <c r="B132" s="46"/>
      <c r="C132" s="46" t="s">
        <v>232</v>
      </c>
      <c r="D132" s="45">
        <f>30/0.6</f>
        <v>50</v>
      </c>
      <c r="F132" s="46" t="s">
        <v>233</v>
      </c>
      <c r="G132" s="45">
        <f>1.055</f>
        <v>1.055</v>
      </c>
      <c r="H132" s="46" t="s">
        <v>234</v>
      </c>
      <c r="I132" s="45">
        <f>1.055</f>
        <v>1.055</v>
      </c>
      <c r="K132" s="83" t="s">
        <v>235</v>
      </c>
      <c r="L132" s="46"/>
      <c r="M132" s="84">
        <v>4363.0</v>
      </c>
    </row>
    <row r="133">
      <c r="F133" s="46" t="s">
        <v>236</v>
      </c>
      <c r="G133" s="85">
        <f>20000</f>
        <v>20000</v>
      </c>
      <c r="H133" s="46"/>
      <c r="I133" s="85">
        <f>F126</f>
        <v>4394.96192</v>
      </c>
      <c r="K133" s="46" t="s">
        <v>237</v>
      </c>
      <c r="L133" s="46"/>
      <c r="M133" s="84">
        <v>18.0</v>
      </c>
    </row>
    <row r="134">
      <c r="F134" s="46" t="s">
        <v>238</v>
      </c>
      <c r="G134" s="86">
        <f>F102*3600*1000</f>
        <v>-804000</v>
      </c>
      <c r="H134" s="46"/>
      <c r="I134" s="86">
        <f>$F$102*3600*1000</f>
        <v>-804000</v>
      </c>
      <c r="K134" s="83" t="s">
        <v>239</v>
      </c>
      <c r="L134" s="46"/>
      <c r="M134" s="87">
        <f>(M132*M133)/1000</f>
        <v>78.534</v>
      </c>
    </row>
    <row r="135">
      <c r="A135" s="88" t="s">
        <v>240</v>
      </c>
      <c r="B135" s="89"/>
      <c r="C135" s="46"/>
      <c r="F135" s="46" t="s">
        <v>241</v>
      </c>
      <c r="G135" s="45">
        <f>G131*(1/G132)</f>
        <v>23.09952607</v>
      </c>
      <c r="H135" s="46"/>
      <c r="I135" s="45">
        <f>I131*(1/I132)</f>
        <v>23.09952607</v>
      </c>
      <c r="K135" s="83" t="s">
        <v>242</v>
      </c>
      <c r="L135" s="46"/>
      <c r="M135" s="84">
        <f>8.76</f>
        <v>8.76</v>
      </c>
    </row>
    <row r="136">
      <c r="A136" s="46" t="s">
        <v>243</v>
      </c>
      <c r="B136" s="45">
        <f>60000*8.26876804*C136</f>
        <v>7441891.236</v>
      </c>
      <c r="C136" s="45">
        <v>15.0</v>
      </c>
      <c r="F136" s="46" t="s">
        <v>244</v>
      </c>
      <c r="G136" s="45">
        <f>12.02+(4*1.008)</f>
        <v>16.052</v>
      </c>
      <c r="H136" s="46"/>
      <c r="I136" s="45">
        <f>12.02+(4*1.008)</f>
        <v>16.052</v>
      </c>
      <c r="K136" s="46" t="s">
        <v>245</v>
      </c>
      <c r="L136" s="46"/>
      <c r="M136" s="45">
        <v>10.4598283</v>
      </c>
    </row>
    <row r="137">
      <c r="A137" s="58" t="s">
        <v>246</v>
      </c>
      <c r="B137" s="45">
        <f>0.25*B136</f>
        <v>1860472.809</v>
      </c>
      <c r="C137" s="46"/>
      <c r="F137" s="46" t="s">
        <v>247</v>
      </c>
      <c r="G137" s="85">
        <f>G133/G136</f>
        <v>1245.95066</v>
      </c>
      <c r="H137" s="46"/>
      <c r="I137" s="85">
        <f>I133/I136</f>
        <v>273.7952853</v>
      </c>
      <c r="K137" s="90" t="s">
        <v>248</v>
      </c>
      <c r="L137" s="90"/>
      <c r="M137" s="91">
        <f>M134*M135*M136</f>
        <v>7195.920884</v>
      </c>
    </row>
    <row r="138">
      <c r="A138" s="58" t="s">
        <v>249</v>
      </c>
      <c r="B138" s="45">
        <f>B136*0.4+B137</f>
        <v>4837229.303</v>
      </c>
      <c r="C138" s="46"/>
      <c r="F138" s="46" t="s">
        <v>250</v>
      </c>
      <c r="G138" s="85">
        <f>-G137*G134</f>
        <v>1001744331</v>
      </c>
      <c r="H138" s="46"/>
      <c r="I138" s="85">
        <f>-I137*I134</f>
        <v>220131409.4</v>
      </c>
      <c r="K138" s="2"/>
    </row>
    <row r="139">
      <c r="A139" s="46" t="s">
        <v>251</v>
      </c>
      <c r="B139" s="45">
        <f>(G140+I140)*352*24</f>
        <v>238442692.3</v>
      </c>
      <c r="C139" s="46"/>
      <c r="D139" s="9" t="s">
        <v>252</v>
      </c>
      <c r="F139" s="46" t="s">
        <v>253</v>
      </c>
      <c r="G139" s="85">
        <f>G138/1000000</f>
        <v>1001.744331</v>
      </c>
      <c r="H139" s="46"/>
      <c r="I139" s="85">
        <f>I138/1000000</f>
        <v>220.1314094</v>
      </c>
      <c r="K139" s="2"/>
    </row>
    <row r="140">
      <c r="A140" s="46" t="s">
        <v>254</v>
      </c>
      <c r="B140" s="45">
        <f>B127*352*24</f>
        <v>60791139.63</v>
      </c>
      <c r="C140" s="46"/>
      <c r="D140" s="9" t="s">
        <v>255</v>
      </c>
      <c r="F140" s="46" t="s">
        <v>256</v>
      </c>
      <c r="G140" s="92">
        <f>G135*G139</f>
        <v>23139.81928</v>
      </c>
      <c r="H140" s="93"/>
      <c r="I140" s="92">
        <f>I135*I139</f>
        <v>5084.931229</v>
      </c>
      <c r="K140" s="2"/>
    </row>
    <row r="141">
      <c r="A141" s="46" t="s">
        <v>257</v>
      </c>
      <c r="B141" s="45">
        <f>G145*352*24</f>
        <v>81607680</v>
      </c>
      <c r="C141" s="46"/>
      <c r="K141" s="2"/>
    </row>
    <row r="142">
      <c r="A142" s="9" t="s">
        <v>258</v>
      </c>
      <c r="B142">
        <f>F154*352*24</f>
        <v>20714209.46</v>
      </c>
      <c r="K142" s="2"/>
    </row>
    <row r="143">
      <c r="A143" s="61" t="s">
        <v>259</v>
      </c>
      <c r="B143" s="9">
        <v>0.0</v>
      </c>
      <c r="C143" s="61" t="s">
        <v>260</v>
      </c>
      <c r="F143" s="58" t="s">
        <v>261</v>
      </c>
      <c r="G143" s="46"/>
      <c r="K143" s="2"/>
    </row>
    <row r="144">
      <c r="A144" s="61" t="s">
        <v>262</v>
      </c>
      <c r="B144" s="45">
        <f>B112*0.03</f>
        <v>32830670.19</v>
      </c>
      <c r="C144" s="61" t="s">
        <v>263</v>
      </c>
      <c r="F144" s="58" t="s">
        <v>264</v>
      </c>
      <c r="G144" s="45">
        <f>3.22*10^4</f>
        <v>32200</v>
      </c>
      <c r="K144" s="2"/>
    </row>
    <row r="145">
      <c r="A145" s="46" t="s">
        <v>265</v>
      </c>
      <c r="B145" s="45">
        <f>B136+B137+B138+B139+B140+B141+B142+B143+B144</f>
        <v>448525985</v>
      </c>
      <c r="C145" s="46"/>
      <c r="F145" s="94" t="s">
        <v>266</v>
      </c>
      <c r="G145" s="95">
        <f>G144*0.3</f>
        <v>9660</v>
      </c>
      <c r="K145" s="2"/>
    </row>
    <row r="146">
      <c r="A146" s="96" t="s">
        <v>267</v>
      </c>
      <c r="B146" s="46"/>
      <c r="C146" s="46"/>
      <c r="K146" s="2"/>
    </row>
    <row r="147">
      <c r="A147" s="46" t="s">
        <v>268</v>
      </c>
      <c r="B147" s="45">
        <f>B126*352*24</f>
        <v>851561921.1</v>
      </c>
      <c r="C147" s="46"/>
      <c r="K147" s="2"/>
    </row>
    <row r="148">
      <c r="A148" s="46" t="s">
        <v>269</v>
      </c>
      <c r="B148" s="45">
        <f>B115*352*24</f>
        <v>111989246.4</v>
      </c>
      <c r="C148" s="46"/>
      <c r="E148" s="97" t="s">
        <v>270</v>
      </c>
      <c r="F148" s="46"/>
      <c r="G148" s="46"/>
      <c r="K148" s="2"/>
    </row>
    <row r="149">
      <c r="A149" s="46"/>
      <c r="B149" s="46"/>
      <c r="C149" s="46"/>
      <c r="E149" s="61" t="s">
        <v>271</v>
      </c>
      <c r="F149" s="71">
        <v>3.8</v>
      </c>
      <c r="G149" s="46"/>
      <c r="K149" s="2"/>
    </row>
    <row r="150">
      <c r="A150" s="46" t="s">
        <v>272</v>
      </c>
      <c r="B150" s="45">
        <f>B147+B148</f>
        <v>963551167.4</v>
      </c>
      <c r="C150" s="46"/>
      <c r="E150" s="61" t="s">
        <v>273</v>
      </c>
      <c r="F150" s="71">
        <v>22.414</v>
      </c>
      <c r="G150" s="46"/>
      <c r="K150" s="2"/>
    </row>
    <row r="151">
      <c r="A151" s="46"/>
      <c r="B151" s="46"/>
      <c r="C151" s="46"/>
      <c r="E151" s="9" t="s">
        <v>274</v>
      </c>
      <c r="F151" s="9">
        <v>2.0</v>
      </c>
      <c r="G151" s="46" t="s">
        <v>166</v>
      </c>
      <c r="K151" s="2"/>
    </row>
    <row r="152">
      <c r="A152" s="98" t="s">
        <v>275</v>
      </c>
      <c r="B152" s="46"/>
      <c r="C152" s="46"/>
      <c r="E152" s="46" t="s">
        <v>276</v>
      </c>
      <c r="F152" s="71">
        <v>47.98</v>
      </c>
      <c r="G152" s="46">
        <f>F152*24*352</f>
        <v>405335.04</v>
      </c>
      <c r="K152" s="2"/>
    </row>
    <row r="153">
      <c r="A153" s="61" t="s">
        <v>277</v>
      </c>
      <c r="B153" s="45">
        <f>B112*0.01</f>
        <v>10943556.73</v>
      </c>
      <c r="C153" s="61" t="s">
        <v>278</v>
      </c>
      <c r="E153" s="9" t="s">
        <v>279</v>
      </c>
      <c r="F153" s="9">
        <v>0.3</v>
      </c>
      <c r="K153" s="2"/>
    </row>
    <row r="154">
      <c r="A154" s="46"/>
      <c r="B154" s="45">
        <f>0.15*B122</f>
        <v>762.7396844</v>
      </c>
      <c r="C154" s="46"/>
      <c r="E154" s="93" t="s">
        <v>280</v>
      </c>
      <c r="F154" s="99">
        <f>F149*F150*F151*F152*F153</f>
        <v>2451.966082</v>
      </c>
      <c r="K154" s="2"/>
    </row>
    <row r="155">
      <c r="A155" s="100" t="s">
        <v>281</v>
      </c>
      <c r="B155" s="101"/>
      <c r="C155" s="100" t="s">
        <v>282</v>
      </c>
      <c r="D155" s="101"/>
      <c r="E155" s="100" t="s">
        <v>283</v>
      </c>
      <c r="F155" s="101"/>
      <c r="G155" s="101"/>
      <c r="H155" s="101" t="s">
        <v>267</v>
      </c>
      <c r="I155" s="101"/>
      <c r="J155" s="101" t="s">
        <v>284</v>
      </c>
      <c r="K155" s="101"/>
      <c r="L155" s="101"/>
    </row>
    <row r="156">
      <c r="A156" s="61" t="s">
        <v>285</v>
      </c>
      <c r="B156" s="45">
        <f>0.05*B116</f>
        <v>99586366.24</v>
      </c>
      <c r="C156" s="46" t="s">
        <v>251</v>
      </c>
      <c r="D156" s="45">
        <f>(B122+G140)*352*24</f>
        <v>238442692.3</v>
      </c>
      <c r="E156" s="46" t="s">
        <v>286</v>
      </c>
      <c r="F156" s="102">
        <f>60000*8.26876804*15</f>
        <v>7441891.236</v>
      </c>
      <c r="G156" s="46"/>
      <c r="H156" s="46" t="s">
        <v>287</v>
      </c>
      <c r="I156" s="45">
        <f>B126*352*24</f>
        <v>851561921.1</v>
      </c>
      <c r="J156" s="103" t="s">
        <v>288</v>
      </c>
      <c r="K156" s="45">
        <f>D161</f>
        <v>401555721.4</v>
      </c>
      <c r="L156" s="46"/>
    </row>
    <row r="157">
      <c r="A157" s="46"/>
      <c r="B157" s="46"/>
      <c r="C157" s="46" t="s">
        <v>254</v>
      </c>
      <c r="D157" s="45">
        <f>M137*352*24</f>
        <v>60791139.63</v>
      </c>
      <c r="E157" s="58" t="s">
        <v>246</v>
      </c>
      <c r="F157" s="85">
        <f>0.25*F156</f>
        <v>1860472.809</v>
      </c>
      <c r="G157" s="46"/>
      <c r="H157" s="46" t="s">
        <v>289</v>
      </c>
      <c r="I157" s="45">
        <f>B115*352*24</f>
        <v>111989246.4</v>
      </c>
      <c r="J157" s="104" t="s">
        <v>290</v>
      </c>
      <c r="K157" s="85">
        <f>F161</f>
        <v>57913820.27</v>
      </c>
      <c r="L157" s="46"/>
    </row>
    <row r="158">
      <c r="A158" s="46"/>
      <c r="B158" s="46"/>
      <c r="C158" s="46" t="s">
        <v>257</v>
      </c>
      <c r="D158" s="45">
        <f>G145*352*24</f>
        <v>81607680</v>
      </c>
      <c r="E158" s="58" t="s">
        <v>249</v>
      </c>
      <c r="F158" s="85">
        <f>F156*0.4+F157</f>
        <v>4837229.303</v>
      </c>
      <c r="G158" s="104" t="s">
        <v>291</v>
      </c>
      <c r="H158" s="46"/>
      <c r="I158" s="46"/>
      <c r="J158" s="46"/>
      <c r="K158" s="46"/>
      <c r="L158" s="46"/>
    </row>
    <row r="159">
      <c r="A159" s="46"/>
      <c r="B159" s="46"/>
      <c r="C159" s="61" t="s">
        <v>292</v>
      </c>
      <c r="D159" s="46">
        <f>F154*352*24</f>
        <v>20714209.46</v>
      </c>
      <c r="E159" s="46" t="s">
        <v>293</v>
      </c>
      <c r="F159" s="105">
        <f>B112*0.03</f>
        <v>32830670.19</v>
      </c>
      <c r="G159" s="104" t="s">
        <v>294</v>
      </c>
      <c r="H159" s="46"/>
      <c r="I159" s="46"/>
      <c r="J159" s="46"/>
      <c r="K159" s="46"/>
      <c r="L159" s="46"/>
    </row>
    <row r="160">
      <c r="A160" s="46"/>
      <c r="B160" s="46"/>
      <c r="C160" s="46"/>
      <c r="D160" s="46"/>
      <c r="E160" s="46" t="s">
        <v>295</v>
      </c>
      <c r="F160" s="85">
        <f>0.01*B112</f>
        <v>10943556.73</v>
      </c>
      <c r="G160" s="104" t="s">
        <v>296</v>
      </c>
      <c r="H160" s="46"/>
      <c r="I160" s="106" t="s">
        <v>297</v>
      </c>
      <c r="J160" s="46"/>
      <c r="K160" s="46"/>
      <c r="L160" s="46"/>
    </row>
    <row r="161">
      <c r="A161" s="58" t="s">
        <v>298</v>
      </c>
      <c r="B161" s="45">
        <f>B156</f>
        <v>99586366.24</v>
      </c>
      <c r="C161" s="46"/>
      <c r="D161" s="45">
        <f>sum(D156:D160)</f>
        <v>401555721.4</v>
      </c>
      <c r="E161" s="46"/>
      <c r="F161" s="85">
        <f>F156+F157+F158+F159+F160</f>
        <v>57913820.27</v>
      </c>
      <c r="G161" s="46"/>
      <c r="H161" s="46"/>
      <c r="I161" s="45">
        <f>I156+I157</f>
        <v>963551167.4</v>
      </c>
      <c r="J161" s="46"/>
      <c r="K161" s="45">
        <f>K156+K157</f>
        <v>459469541.7</v>
      </c>
      <c r="L161" s="46"/>
    </row>
    <row r="162">
      <c r="A162" s="46"/>
      <c r="B162" s="46"/>
      <c r="C162" s="46"/>
      <c r="D162" s="46"/>
      <c r="E162" s="106" t="s">
        <v>299</v>
      </c>
      <c r="F162" s="106" t="s">
        <v>300</v>
      </c>
      <c r="G162" s="46"/>
      <c r="H162" s="46"/>
      <c r="I162" s="46"/>
      <c r="J162" s="66"/>
      <c r="K162" s="66"/>
      <c r="L162" s="66"/>
    </row>
    <row r="163">
      <c r="A163" s="46"/>
      <c r="B163" s="46"/>
      <c r="C163" s="46"/>
      <c r="D163" s="46"/>
      <c r="E163" s="46">
        <f>D161+F161</f>
        <v>459469541.7</v>
      </c>
      <c r="F163" s="46">
        <f>B116</f>
        <v>1991727325</v>
      </c>
      <c r="G163" s="46"/>
      <c r="H163" s="46"/>
      <c r="I163" s="58" t="s">
        <v>301</v>
      </c>
      <c r="J163" s="107">
        <f>I161-K161</f>
        <v>504081625.8</v>
      </c>
      <c r="K163" s="66"/>
      <c r="L163" s="66"/>
    </row>
    <row r="164">
      <c r="A164" s="2"/>
      <c r="K164" s="2"/>
    </row>
    <row r="165">
      <c r="A165" s="2"/>
      <c r="K165" s="2"/>
    </row>
    <row r="166">
      <c r="A166" s="2"/>
      <c r="K166" s="2"/>
    </row>
    <row r="167">
      <c r="A167" s="2"/>
      <c r="K167" s="2"/>
    </row>
    <row r="168">
      <c r="A168" s="2"/>
      <c r="K168" s="2"/>
    </row>
    <row r="169">
      <c r="A169" s="2"/>
      <c r="K169" s="2"/>
    </row>
    <row r="170">
      <c r="A170" s="2"/>
      <c r="K170" s="2"/>
    </row>
    <row r="171">
      <c r="A171" s="2"/>
      <c r="K171" s="2"/>
    </row>
    <row r="172">
      <c r="A172" s="2"/>
      <c r="K172" s="2"/>
    </row>
    <row r="173">
      <c r="A173" s="2"/>
      <c r="K173" s="2"/>
    </row>
    <row r="174">
      <c r="A174" s="2"/>
      <c r="K174" s="2"/>
    </row>
    <row r="175">
      <c r="A175" s="2"/>
      <c r="K175" s="2"/>
    </row>
    <row r="176">
      <c r="A176" s="2"/>
      <c r="K176" s="2"/>
    </row>
    <row r="177">
      <c r="A177" s="2"/>
      <c r="K177" s="2"/>
    </row>
    <row r="178">
      <c r="A178" s="2"/>
      <c r="K178" s="2"/>
    </row>
    <row r="179">
      <c r="A179" s="2"/>
      <c r="K179" s="2"/>
    </row>
    <row r="180">
      <c r="A180" s="2"/>
      <c r="K180" s="2"/>
    </row>
    <row r="181">
      <c r="A181" s="2"/>
      <c r="K181" s="2"/>
    </row>
    <row r="182">
      <c r="A182" s="2"/>
      <c r="K182" s="2"/>
    </row>
    <row r="183">
      <c r="A183" s="2"/>
      <c r="K183" s="2"/>
    </row>
    <row r="184">
      <c r="A184" s="2"/>
      <c r="K184" s="2"/>
    </row>
    <row r="185">
      <c r="A185" s="2"/>
      <c r="K185" s="2"/>
    </row>
    <row r="186">
      <c r="A186" s="2"/>
      <c r="K186" s="2"/>
    </row>
    <row r="187">
      <c r="A187" s="2"/>
      <c r="K187" s="2"/>
    </row>
    <row r="188">
      <c r="A188" s="2"/>
      <c r="K188" s="2"/>
    </row>
    <row r="189">
      <c r="A189" s="2"/>
      <c r="K189" s="2"/>
    </row>
    <row r="190">
      <c r="A190" s="2"/>
      <c r="K190" s="2"/>
    </row>
    <row r="191">
      <c r="A191" s="2"/>
      <c r="K191" s="2"/>
    </row>
    <row r="192">
      <c r="A192" s="2"/>
      <c r="K192" s="2"/>
    </row>
    <row r="193">
      <c r="A193" s="2"/>
      <c r="K193" s="2"/>
    </row>
    <row r="194">
      <c r="A194" s="2"/>
      <c r="K194" s="2"/>
    </row>
    <row r="195">
      <c r="A195" s="2"/>
      <c r="K195" s="2"/>
    </row>
    <row r="196">
      <c r="A196" s="2"/>
      <c r="K196" s="2"/>
    </row>
    <row r="197">
      <c r="A197" s="2"/>
      <c r="K197" s="2"/>
    </row>
    <row r="198">
      <c r="A198" s="2"/>
      <c r="K198" s="2"/>
    </row>
    <row r="199">
      <c r="A199" s="2"/>
      <c r="K199" s="2"/>
    </row>
    <row r="200">
      <c r="A200" s="2"/>
      <c r="K200" s="2"/>
    </row>
    <row r="201">
      <c r="A201" s="2"/>
      <c r="K201" s="2"/>
    </row>
    <row r="202">
      <c r="A202" s="2"/>
      <c r="K202" s="2"/>
    </row>
    <row r="203">
      <c r="A203" s="2"/>
      <c r="K203" s="2"/>
    </row>
    <row r="204">
      <c r="A204" s="2"/>
      <c r="K204" s="2"/>
    </row>
    <row r="205">
      <c r="A205" s="2"/>
      <c r="K205" s="2"/>
    </row>
    <row r="206">
      <c r="A206" s="2"/>
      <c r="K206" s="2"/>
    </row>
    <row r="207">
      <c r="A207" s="2"/>
      <c r="K207" s="2"/>
    </row>
    <row r="208">
      <c r="A208" s="2"/>
      <c r="K208" s="2"/>
    </row>
    <row r="209">
      <c r="A209" s="2"/>
      <c r="K209" s="2"/>
    </row>
    <row r="210">
      <c r="A210" s="2"/>
      <c r="K210" s="2"/>
    </row>
    <row r="211">
      <c r="A211" s="2"/>
      <c r="K211" s="2"/>
    </row>
    <row r="212">
      <c r="A212" s="2"/>
      <c r="K212" s="2"/>
    </row>
    <row r="213">
      <c r="A213" s="2"/>
      <c r="K213" s="2"/>
    </row>
    <row r="214">
      <c r="A214" s="2"/>
      <c r="K214" s="2"/>
    </row>
    <row r="215">
      <c r="A215" s="2"/>
      <c r="K215" s="2"/>
    </row>
    <row r="216">
      <c r="A216" s="2"/>
      <c r="K216" s="2"/>
    </row>
    <row r="217">
      <c r="A217" s="2"/>
      <c r="K217" s="2"/>
    </row>
    <row r="218">
      <c r="A218" s="2"/>
      <c r="K218" s="2"/>
    </row>
    <row r="219">
      <c r="A219" s="2"/>
      <c r="K219" s="2"/>
    </row>
    <row r="220">
      <c r="A220" s="2"/>
      <c r="K220" s="2"/>
    </row>
    <row r="221">
      <c r="A221" s="2"/>
      <c r="K221" s="2"/>
    </row>
    <row r="222">
      <c r="A222" s="2"/>
      <c r="K222" s="2"/>
    </row>
    <row r="223">
      <c r="A223" s="2"/>
      <c r="K223" s="2"/>
    </row>
    <row r="224">
      <c r="A224" s="2"/>
      <c r="K224" s="2"/>
    </row>
    <row r="225">
      <c r="A225" s="2"/>
      <c r="K225" s="2"/>
    </row>
    <row r="226">
      <c r="A226" s="2"/>
      <c r="K226" s="2"/>
    </row>
    <row r="227">
      <c r="A227" s="2"/>
      <c r="K227" s="2"/>
    </row>
    <row r="228">
      <c r="A228" s="2"/>
      <c r="K228" s="2"/>
    </row>
    <row r="229">
      <c r="A229" s="2"/>
      <c r="K229" s="2"/>
    </row>
    <row r="230">
      <c r="A230" s="2"/>
      <c r="K230" s="2"/>
    </row>
    <row r="231">
      <c r="A231" s="2"/>
      <c r="K231" s="2"/>
    </row>
    <row r="232">
      <c r="A232" s="2"/>
      <c r="K232" s="2"/>
    </row>
    <row r="233">
      <c r="A233" s="2"/>
      <c r="K233" s="2"/>
    </row>
    <row r="234">
      <c r="A234" s="2"/>
      <c r="K234" s="2"/>
    </row>
    <row r="235">
      <c r="A235" s="2"/>
      <c r="K235" s="2"/>
    </row>
    <row r="236">
      <c r="A236" s="2"/>
      <c r="K236" s="2"/>
    </row>
    <row r="237">
      <c r="A237" s="2"/>
      <c r="K237" s="2"/>
    </row>
    <row r="238">
      <c r="A238" s="2"/>
      <c r="K238" s="2"/>
    </row>
    <row r="239">
      <c r="A239" s="2"/>
      <c r="K239" s="2"/>
    </row>
    <row r="240">
      <c r="A240" s="2"/>
      <c r="K240" s="2"/>
    </row>
    <row r="241">
      <c r="A241" s="2"/>
      <c r="K241" s="2"/>
    </row>
    <row r="242">
      <c r="A242" s="2"/>
      <c r="K242" s="2"/>
    </row>
    <row r="243">
      <c r="A243" s="2"/>
      <c r="K243" s="2"/>
    </row>
    <row r="244">
      <c r="A244" s="2"/>
      <c r="K244" s="2"/>
    </row>
    <row r="245">
      <c r="A245" s="2"/>
      <c r="K245" s="2"/>
    </row>
    <row r="246">
      <c r="A246" s="2"/>
      <c r="K246" s="2"/>
    </row>
    <row r="247">
      <c r="A247" s="2"/>
      <c r="K247" s="2"/>
    </row>
    <row r="248">
      <c r="A248" s="2"/>
      <c r="K248" s="2"/>
    </row>
    <row r="249">
      <c r="A249" s="2"/>
      <c r="K249" s="2"/>
    </row>
    <row r="250">
      <c r="A250" s="2"/>
      <c r="K250" s="2"/>
    </row>
    <row r="251">
      <c r="A251" s="2"/>
      <c r="K251" s="2"/>
    </row>
    <row r="252">
      <c r="A252" s="2"/>
      <c r="K252" s="2"/>
    </row>
    <row r="253">
      <c r="A253" s="2"/>
      <c r="K253" s="2"/>
    </row>
    <row r="254">
      <c r="A254" s="2"/>
      <c r="K254" s="2"/>
    </row>
    <row r="255">
      <c r="A255" s="2"/>
      <c r="K255" s="2"/>
    </row>
    <row r="256">
      <c r="A256" s="2"/>
      <c r="K256" s="2"/>
    </row>
    <row r="257">
      <c r="A257" s="2"/>
      <c r="K257" s="2"/>
    </row>
    <row r="258">
      <c r="A258" s="2"/>
      <c r="K258" s="2"/>
    </row>
    <row r="259">
      <c r="A259" s="2"/>
      <c r="K259" s="2"/>
    </row>
    <row r="260">
      <c r="A260" s="2"/>
      <c r="K260" s="2"/>
    </row>
    <row r="261">
      <c r="A261" s="2"/>
      <c r="K261" s="2"/>
    </row>
    <row r="262">
      <c r="A262" s="2"/>
      <c r="K262" s="2"/>
    </row>
    <row r="263">
      <c r="A263" s="2"/>
      <c r="K263" s="2"/>
    </row>
    <row r="264">
      <c r="A264" s="2"/>
      <c r="K264" s="2"/>
    </row>
    <row r="265">
      <c r="A265" s="2"/>
      <c r="K265" s="2"/>
    </row>
    <row r="266">
      <c r="A266" s="2"/>
      <c r="K266" s="2"/>
    </row>
    <row r="267">
      <c r="A267" s="2"/>
      <c r="K267" s="2"/>
    </row>
    <row r="268">
      <c r="A268" s="2"/>
      <c r="K268" s="2"/>
    </row>
    <row r="269">
      <c r="A269" s="2"/>
      <c r="K269" s="2"/>
    </row>
    <row r="270">
      <c r="A270" s="2"/>
      <c r="K270" s="2"/>
    </row>
    <row r="271">
      <c r="A271" s="2"/>
      <c r="K271" s="2"/>
    </row>
    <row r="272">
      <c r="A272" s="2"/>
      <c r="K272" s="2"/>
    </row>
    <row r="273">
      <c r="A273" s="2"/>
      <c r="K273" s="2"/>
    </row>
    <row r="274">
      <c r="A274" s="2"/>
      <c r="K274" s="2"/>
    </row>
    <row r="275">
      <c r="A275" s="2"/>
      <c r="K275" s="2"/>
    </row>
    <row r="276">
      <c r="A276" s="2"/>
      <c r="K276" s="2"/>
    </row>
    <row r="277">
      <c r="A277" s="2"/>
      <c r="K277" s="2"/>
    </row>
    <row r="278">
      <c r="A278" s="2"/>
      <c r="K278" s="2"/>
    </row>
    <row r="279">
      <c r="A279" s="2"/>
      <c r="K279" s="2"/>
    </row>
    <row r="280">
      <c r="A280" s="2"/>
      <c r="K280" s="2"/>
    </row>
    <row r="281">
      <c r="A281" s="2"/>
      <c r="K281" s="2"/>
    </row>
    <row r="282">
      <c r="A282" s="2"/>
      <c r="K282" s="2"/>
    </row>
    <row r="283">
      <c r="A283" s="2"/>
      <c r="K283" s="2"/>
    </row>
    <row r="284">
      <c r="A284" s="2"/>
      <c r="K284" s="2"/>
    </row>
    <row r="285">
      <c r="A285" s="2"/>
      <c r="K285" s="2"/>
    </row>
    <row r="286">
      <c r="A286" s="2"/>
      <c r="K286" s="2"/>
    </row>
    <row r="287">
      <c r="A287" s="2"/>
      <c r="K287" s="2"/>
    </row>
    <row r="288">
      <c r="A288" s="2"/>
      <c r="K288" s="2"/>
    </row>
    <row r="289">
      <c r="A289" s="2"/>
      <c r="K289" s="2"/>
    </row>
    <row r="290">
      <c r="A290" s="2"/>
      <c r="K290" s="2"/>
    </row>
    <row r="291">
      <c r="A291" s="2"/>
      <c r="K291" s="2"/>
    </row>
    <row r="292">
      <c r="A292" s="2"/>
      <c r="K292" s="2"/>
    </row>
    <row r="293">
      <c r="A293" s="2"/>
      <c r="K293" s="2"/>
    </row>
    <row r="294">
      <c r="A294" s="2"/>
      <c r="K294" s="2"/>
    </row>
    <row r="295">
      <c r="A295" s="2"/>
      <c r="K295" s="2"/>
    </row>
    <row r="296">
      <c r="A296" s="2"/>
      <c r="K296" s="2"/>
    </row>
    <row r="297">
      <c r="A297" s="2"/>
      <c r="K297" s="2"/>
    </row>
    <row r="298">
      <c r="A298" s="2"/>
      <c r="K298" s="2"/>
    </row>
    <row r="299">
      <c r="A299" s="2"/>
      <c r="K299" s="2"/>
    </row>
    <row r="300">
      <c r="A300" s="2"/>
      <c r="K300" s="2"/>
    </row>
    <row r="301">
      <c r="A301" s="2"/>
      <c r="K301" s="2"/>
    </row>
    <row r="302">
      <c r="A302" s="2"/>
      <c r="K302" s="2"/>
    </row>
    <row r="303">
      <c r="A303" s="2"/>
      <c r="K303" s="2"/>
    </row>
    <row r="304">
      <c r="A304" s="2"/>
      <c r="K304" s="2"/>
    </row>
    <row r="305">
      <c r="A305" s="2"/>
      <c r="K305" s="2"/>
    </row>
    <row r="306">
      <c r="A306" s="2"/>
      <c r="K306" s="2"/>
    </row>
    <row r="307">
      <c r="A307" s="2"/>
      <c r="K307" s="2"/>
    </row>
    <row r="308">
      <c r="A308" s="2"/>
      <c r="K308" s="2"/>
    </row>
    <row r="309">
      <c r="A309" s="2"/>
      <c r="K309" s="2"/>
    </row>
    <row r="310">
      <c r="A310" s="2"/>
      <c r="K310" s="2"/>
    </row>
    <row r="311">
      <c r="A311" s="2"/>
      <c r="K311" s="2"/>
    </row>
    <row r="312">
      <c r="A312" s="2"/>
      <c r="K312" s="2"/>
    </row>
    <row r="313">
      <c r="A313" s="2"/>
      <c r="K313" s="2"/>
    </row>
    <row r="314">
      <c r="A314" s="2"/>
      <c r="K314" s="2"/>
    </row>
    <row r="315">
      <c r="A315" s="2"/>
      <c r="K315" s="2"/>
    </row>
    <row r="316">
      <c r="A316" s="2"/>
      <c r="K316" s="2"/>
    </row>
    <row r="317">
      <c r="A317" s="2"/>
      <c r="K317" s="2"/>
    </row>
    <row r="318">
      <c r="A318" s="2"/>
      <c r="K318" s="2"/>
    </row>
    <row r="319">
      <c r="A319" s="2"/>
      <c r="K319" s="2"/>
    </row>
    <row r="320">
      <c r="A320" s="2"/>
      <c r="K320" s="2"/>
    </row>
    <row r="321">
      <c r="A321" s="2"/>
      <c r="K321" s="2"/>
    </row>
    <row r="322">
      <c r="A322" s="2"/>
      <c r="K322" s="2"/>
    </row>
    <row r="323">
      <c r="A323" s="2"/>
      <c r="K323" s="2"/>
    </row>
    <row r="324">
      <c r="A324" s="2"/>
      <c r="K324" s="2"/>
    </row>
    <row r="325">
      <c r="A325" s="2"/>
      <c r="K325" s="2"/>
    </row>
    <row r="326">
      <c r="A326" s="2"/>
      <c r="K326" s="2"/>
    </row>
    <row r="327">
      <c r="A327" s="2"/>
      <c r="K327" s="2"/>
    </row>
    <row r="328">
      <c r="A328" s="2"/>
      <c r="K328" s="2"/>
    </row>
    <row r="329">
      <c r="A329" s="2"/>
      <c r="K329" s="2"/>
    </row>
    <row r="330">
      <c r="A330" s="2"/>
      <c r="K330" s="2"/>
    </row>
    <row r="331">
      <c r="A331" s="2"/>
      <c r="K331" s="2"/>
    </row>
    <row r="332">
      <c r="A332" s="2"/>
      <c r="K332" s="2"/>
    </row>
    <row r="333">
      <c r="A333" s="2"/>
      <c r="K333" s="2"/>
    </row>
    <row r="334">
      <c r="A334" s="2"/>
      <c r="K334" s="2"/>
    </row>
    <row r="335">
      <c r="A335" s="2"/>
      <c r="K335" s="2"/>
    </row>
    <row r="336">
      <c r="A336" s="2"/>
      <c r="K336" s="2"/>
    </row>
    <row r="337">
      <c r="A337" s="2"/>
      <c r="K337" s="2"/>
    </row>
    <row r="338">
      <c r="A338" s="2"/>
      <c r="K338" s="2"/>
    </row>
    <row r="339">
      <c r="A339" s="2"/>
      <c r="K339" s="2"/>
    </row>
    <row r="340">
      <c r="A340" s="2"/>
      <c r="K340" s="2"/>
    </row>
    <row r="341">
      <c r="A341" s="2"/>
      <c r="K341" s="2"/>
    </row>
    <row r="342">
      <c r="A342" s="2"/>
      <c r="K342" s="2"/>
    </row>
    <row r="343">
      <c r="A343" s="2"/>
      <c r="K343" s="2"/>
    </row>
    <row r="344">
      <c r="A344" s="2"/>
      <c r="K344" s="2"/>
    </row>
    <row r="345">
      <c r="A345" s="2"/>
      <c r="K345" s="2"/>
    </row>
    <row r="346">
      <c r="A346" s="2"/>
      <c r="K346" s="2"/>
    </row>
    <row r="347">
      <c r="A347" s="2"/>
      <c r="K347" s="2"/>
    </row>
    <row r="348">
      <c r="A348" s="2"/>
      <c r="K348" s="2"/>
    </row>
    <row r="349">
      <c r="A349" s="2"/>
      <c r="K349" s="2"/>
    </row>
    <row r="350">
      <c r="A350" s="2"/>
      <c r="K350" s="2"/>
    </row>
    <row r="351">
      <c r="A351" s="2"/>
      <c r="K351" s="2"/>
    </row>
    <row r="352">
      <c r="A352" s="2"/>
      <c r="K352" s="2"/>
    </row>
    <row r="353">
      <c r="A353" s="2"/>
      <c r="K353" s="2"/>
    </row>
    <row r="354">
      <c r="A354" s="2"/>
      <c r="K354" s="2"/>
    </row>
    <row r="355">
      <c r="A355" s="2"/>
      <c r="K355" s="2"/>
    </row>
    <row r="356">
      <c r="A356" s="2"/>
      <c r="K356" s="2"/>
    </row>
    <row r="357">
      <c r="A357" s="2"/>
      <c r="K357" s="2"/>
    </row>
    <row r="358">
      <c r="A358" s="2"/>
      <c r="K358" s="2"/>
    </row>
    <row r="359">
      <c r="A359" s="2"/>
      <c r="K359" s="2"/>
    </row>
    <row r="360">
      <c r="A360" s="2"/>
      <c r="K360" s="2"/>
    </row>
    <row r="361">
      <c r="A361" s="2"/>
      <c r="K361" s="2"/>
    </row>
    <row r="362">
      <c r="A362" s="2"/>
      <c r="K362" s="2"/>
    </row>
    <row r="363">
      <c r="A363" s="2"/>
      <c r="K363" s="2"/>
    </row>
    <row r="364">
      <c r="A364" s="2"/>
      <c r="K364" s="2"/>
    </row>
    <row r="365">
      <c r="A365" s="2"/>
      <c r="K365" s="2"/>
    </row>
    <row r="366">
      <c r="A366" s="2"/>
      <c r="K366" s="2"/>
    </row>
    <row r="367">
      <c r="A367" s="2"/>
      <c r="K367" s="2"/>
    </row>
    <row r="368">
      <c r="A368" s="2"/>
      <c r="K368" s="2"/>
    </row>
    <row r="369">
      <c r="A369" s="2"/>
      <c r="K369" s="2"/>
    </row>
    <row r="370">
      <c r="A370" s="2"/>
      <c r="K370" s="2"/>
    </row>
    <row r="371">
      <c r="A371" s="2"/>
      <c r="K371" s="2"/>
    </row>
    <row r="372">
      <c r="A372" s="2"/>
      <c r="K372" s="2"/>
    </row>
    <row r="373">
      <c r="A373" s="2"/>
      <c r="K373" s="2"/>
    </row>
    <row r="374">
      <c r="A374" s="2"/>
      <c r="K374" s="2"/>
    </row>
    <row r="375">
      <c r="A375" s="2"/>
      <c r="K375" s="2"/>
    </row>
    <row r="376">
      <c r="A376" s="2"/>
      <c r="K376" s="2"/>
    </row>
    <row r="377">
      <c r="A377" s="2"/>
      <c r="K377" s="2"/>
    </row>
    <row r="378">
      <c r="A378" s="2"/>
      <c r="K378" s="2"/>
    </row>
    <row r="379">
      <c r="A379" s="2"/>
      <c r="K379" s="2"/>
    </row>
    <row r="380">
      <c r="A380" s="2"/>
      <c r="K380" s="2"/>
    </row>
    <row r="381">
      <c r="A381" s="2"/>
      <c r="K381" s="2"/>
    </row>
    <row r="382">
      <c r="A382" s="2"/>
      <c r="K382" s="2"/>
    </row>
    <row r="383">
      <c r="A383" s="2"/>
      <c r="K383" s="2"/>
    </row>
    <row r="384">
      <c r="A384" s="2"/>
      <c r="K384" s="2"/>
    </row>
    <row r="385">
      <c r="A385" s="2"/>
      <c r="K385" s="2"/>
    </row>
    <row r="386">
      <c r="A386" s="2"/>
      <c r="K386" s="2"/>
    </row>
    <row r="387">
      <c r="A387" s="2"/>
      <c r="K387" s="2"/>
    </row>
    <row r="388">
      <c r="A388" s="2"/>
      <c r="K388" s="2"/>
    </row>
    <row r="389">
      <c r="A389" s="2"/>
      <c r="K389" s="2"/>
    </row>
    <row r="390">
      <c r="A390" s="2"/>
      <c r="K390" s="2"/>
    </row>
    <row r="391">
      <c r="A391" s="2"/>
      <c r="K391" s="2"/>
    </row>
    <row r="392">
      <c r="A392" s="2"/>
      <c r="K392" s="2"/>
    </row>
    <row r="393">
      <c r="A393" s="2"/>
      <c r="K393" s="2"/>
    </row>
    <row r="394">
      <c r="A394" s="2"/>
      <c r="K394" s="2"/>
    </row>
    <row r="395">
      <c r="A395" s="2"/>
      <c r="K395" s="2"/>
    </row>
    <row r="396">
      <c r="A396" s="2"/>
      <c r="K396" s="2"/>
    </row>
    <row r="397">
      <c r="A397" s="2"/>
      <c r="K397" s="2"/>
    </row>
    <row r="398">
      <c r="A398" s="2"/>
      <c r="K398" s="2"/>
    </row>
    <row r="399">
      <c r="A399" s="2"/>
      <c r="K399" s="2"/>
    </row>
    <row r="400">
      <c r="A400" s="2"/>
      <c r="K400" s="2"/>
    </row>
    <row r="401">
      <c r="A401" s="2"/>
      <c r="K401" s="2"/>
    </row>
    <row r="402">
      <c r="A402" s="2"/>
      <c r="K402" s="2"/>
    </row>
    <row r="403">
      <c r="A403" s="2"/>
      <c r="K403" s="2"/>
    </row>
    <row r="404">
      <c r="A404" s="2"/>
      <c r="K404" s="2"/>
    </row>
    <row r="405">
      <c r="A405" s="2"/>
      <c r="K405" s="2"/>
    </row>
    <row r="406">
      <c r="A406" s="2"/>
      <c r="K406" s="2"/>
    </row>
    <row r="407">
      <c r="A407" s="2"/>
      <c r="K407" s="2"/>
    </row>
    <row r="408">
      <c r="A408" s="2"/>
      <c r="K408" s="2"/>
    </row>
    <row r="409">
      <c r="A409" s="2"/>
      <c r="K409" s="2"/>
    </row>
    <row r="410">
      <c r="A410" s="2"/>
      <c r="K410" s="2"/>
    </row>
    <row r="411">
      <c r="A411" s="2"/>
      <c r="K411" s="2"/>
    </row>
    <row r="412">
      <c r="A412" s="2"/>
      <c r="K412" s="2"/>
    </row>
    <row r="413">
      <c r="A413" s="2"/>
      <c r="K413" s="2"/>
    </row>
    <row r="414">
      <c r="A414" s="2"/>
      <c r="K414" s="2"/>
    </row>
    <row r="415">
      <c r="A415" s="2"/>
      <c r="K415" s="2"/>
    </row>
    <row r="416">
      <c r="A416" s="2"/>
      <c r="K416" s="2"/>
    </row>
    <row r="417">
      <c r="A417" s="2"/>
      <c r="K417" s="2"/>
    </row>
    <row r="418">
      <c r="A418" s="2"/>
      <c r="K418" s="2"/>
    </row>
    <row r="419">
      <c r="A419" s="2"/>
      <c r="K419" s="2"/>
    </row>
    <row r="420">
      <c r="A420" s="2"/>
      <c r="K420" s="2"/>
    </row>
    <row r="421">
      <c r="A421" s="2"/>
      <c r="K421" s="2"/>
    </row>
    <row r="422">
      <c r="A422" s="2"/>
      <c r="K422" s="2"/>
    </row>
    <row r="423">
      <c r="A423" s="2"/>
      <c r="K423" s="2"/>
    </row>
    <row r="424">
      <c r="A424" s="2"/>
      <c r="K424" s="2"/>
    </row>
    <row r="425">
      <c r="A425" s="2"/>
      <c r="K425" s="2"/>
    </row>
    <row r="426">
      <c r="A426" s="2"/>
      <c r="K426" s="2"/>
    </row>
    <row r="427">
      <c r="A427" s="2"/>
      <c r="K427" s="2"/>
    </row>
    <row r="428">
      <c r="A428" s="2"/>
      <c r="K428" s="2"/>
    </row>
    <row r="429">
      <c r="A429" s="2"/>
      <c r="K429" s="2"/>
    </row>
    <row r="430">
      <c r="A430" s="2"/>
      <c r="K430" s="2"/>
    </row>
    <row r="431">
      <c r="A431" s="2"/>
      <c r="K431" s="2"/>
    </row>
    <row r="432">
      <c r="A432" s="2"/>
      <c r="K432" s="2"/>
    </row>
    <row r="433">
      <c r="A433" s="2"/>
      <c r="K433" s="2"/>
    </row>
    <row r="434">
      <c r="A434" s="2"/>
      <c r="K434" s="2"/>
    </row>
    <row r="435">
      <c r="A435" s="2"/>
      <c r="K435" s="2"/>
    </row>
    <row r="436">
      <c r="A436" s="2"/>
      <c r="K436" s="2"/>
    </row>
    <row r="437">
      <c r="A437" s="2"/>
      <c r="K437" s="2"/>
    </row>
    <row r="438">
      <c r="A438" s="2"/>
      <c r="K438" s="2"/>
    </row>
    <row r="439">
      <c r="A439" s="2"/>
      <c r="K439" s="2"/>
    </row>
    <row r="440">
      <c r="A440" s="2"/>
      <c r="K440" s="2"/>
    </row>
    <row r="441">
      <c r="A441" s="2"/>
      <c r="K441" s="2"/>
    </row>
    <row r="442">
      <c r="A442" s="2"/>
      <c r="K442" s="2"/>
    </row>
    <row r="443">
      <c r="A443" s="2"/>
      <c r="K443" s="2"/>
    </row>
    <row r="444">
      <c r="A444" s="2"/>
      <c r="K444" s="2"/>
    </row>
    <row r="445">
      <c r="A445" s="2"/>
      <c r="K445" s="2"/>
    </row>
    <row r="446">
      <c r="A446" s="2"/>
      <c r="K446" s="2"/>
    </row>
    <row r="447">
      <c r="A447" s="2"/>
      <c r="K447" s="2"/>
    </row>
    <row r="448">
      <c r="A448" s="2"/>
      <c r="K448" s="2"/>
    </row>
    <row r="449">
      <c r="A449" s="2"/>
      <c r="K449" s="2"/>
    </row>
    <row r="450">
      <c r="A450" s="2"/>
      <c r="K450" s="2"/>
    </row>
    <row r="451">
      <c r="A451" s="2"/>
      <c r="K451" s="2"/>
    </row>
    <row r="452">
      <c r="A452" s="2"/>
      <c r="K452" s="2"/>
    </row>
    <row r="453">
      <c r="A453" s="2"/>
      <c r="K453" s="2"/>
    </row>
    <row r="454">
      <c r="A454" s="2"/>
      <c r="K454" s="2"/>
    </row>
    <row r="455">
      <c r="A455" s="2"/>
      <c r="K455" s="2"/>
    </row>
    <row r="456">
      <c r="A456" s="2"/>
      <c r="K456" s="2"/>
    </row>
    <row r="457">
      <c r="A457" s="2"/>
      <c r="K457" s="2"/>
    </row>
    <row r="458">
      <c r="A458" s="2"/>
      <c r="K458" s="2"/>
    </row>
    <row r="459">
      <c r="A459" s="2"/>
      <c r="K459" s="2"/>
    </row>
    <row r="460">
      <c r="A460" s="2"/>
      <c r="K460" s="2"/>
    </row>
    <row r="461">
      <c r="A461" s="2"/>
      <c r="K461" s="2"/>
    </row>
    <row r="462">
      <c r="A462" s="2"/>
      <c r="K462" s="2"/>
    </row>
    <row r="463">
      <c r="A463" s="2"/>
      <c r="K463" s="2"/>
    </row>
    <row r="464">
      <c r="A464" s="2"/>
      <c r="K464" s="2"/>
    </row>
    <row r="465">
      <c r="A465" s="2"/>
      <c r="K465" s="2"/>
    </row>
    <row r="466">
      <c r="A466" s="2"/>
      <c r="K466" s="2"/>
    </row>
    <row r="467">
      <c r="A467" s="2"/>
      <c r="K467" s="2"/>
    </row>
    <row r="468">
      <c r="A468" s="2"/>
      <c r="K468" s="2"/>
    </row>
    <row r="469">
      <c r="A469" s="2"/>
      <c r="K469" s="2"/>
    </row>
    <row r="470">
      <c r="A470" s="2"/>
      <c r="K470" s="2"/>
    </row>
    <row r="471">
      <c r="A471" s="2"/>
      <c r="K471" s="2"/>
    </row>
    <row r="472">
      <c r="A472" s="2"/>
      <c r="K472" s="2"/>
    </row>
    <row r="473">
      <c r="A473" s="2"/>
      <c r="K473" s="2"/>
    </row>
    <row r="474">
      <c r="A474" s="2"/>
      <c r="K474" s="2"/>
    </row>
    <row r="475">
      <c r="A475" s="2"/>
      <c r="K475" s="2"/>
    </row>
    <row r="476">
      <c r="A476" s="2"/>
      <c r="K476" s="2"/>
    </row>
    <row r="477">
      <c r="A477" s="2"/>
      <c r="K477" s="2"/>
    </row>
    <row r="478">
      <c r="A478" s="2"/>
      <c r="K478" s="2"/>
    </row>
    <row r="479">
      <c r="A479" s="2"/>
      <c r="K479" s="2"/>
    </row>
    <row r="480">
      <c r="A480" s="2"/>
      <c r="K480" s="2"/>
    </row>
    <row r="481">
      <c r="A481" s="2"/>
      <c r="K481" s="2"/>
    </row>
    <row r="482">
      <c r="A482" s="2"/>
      <c r="K482" s="2"/>
    </row>
    <row r="483">
      <c r="A483" s="2"/>
      <c r="K483" s="2"/>
    </row>
    <row r="484">
      <c r="A484" s="2"/>
      <c r="K484" s="2"/>
    </row>
    <row r="485">
      <c r="A485" s="2"/>
      <c r="K485" s="2"/>
    </row>
    <row r="486">
      <c r="A486" s="2"/>
      <c r="K486" s="2"/>
    </row>
    <row r="487">
      <c r="A487" s="2"/>
      <c r="K487" s="2"/>
    </row>
    <row r="488">
      <c r="A488" s="2"/>
      <c r="K488" s="2"/>
    </row>
    <row r="489">
      <c r="A489" s="2"/>
      <c r="K489" s="2"/>
    </row>
    <row r="490">
      <c r="A490" s="2"/>
      <c r="K490" s="2"/>
    </row>
    <row r="491">
      <c r="A491" s="2"/>
      <c r="K491" s="2"/>
    </row>
    <row r="492">
      <c r="A492" s="2"/>
      <c r="K492" s="2"/>
    </row>
    <row r="493">
      <c r="A493" s="2"/>
      <c r="K493" s="2"/>
    </row>
    <row r="494">
      <c r="A494" s="2"/>
      <c r="K494" s="2"/>
    </row>
    <row r="495">
      <c r="A495" s="2"/>
      <c r="K495" s="2"/>
    </row>
    <row r="496">
      <c r="A496" s="2"/>
      <c r="K496" s="2"/>
    </row>
    <row r="497">
      <c r="A497" s="2"/>
      <c r="K497" s="2"/>
    </row>
    <row r="498">
      <c r="A498" s="2"/>
      <c r="K498" s="2"/>
    </row>
    <row r="499">
      <c r="A499" s="2"/>
      <c r="K499" s="2"/>
    </row>
    <row r="500">
      <c r="A500" s="2"/>
      <c r="K500" s="2"/>
    </row>
    <row r="501">
      <c r="A501" s="2"/>
      <c r="K501" s="2"/>
    </row>
    <row r="502">
      <c r="A502" s="2"/>
      <c r="K502" s="2"/>
    </row>
    <row r="503">
      <c r="A503" s="2"/>
      <c r="K503" s="2"/>
    </row>
    <row r="504">
      <c r="A504" s="2"/>
      <c r="K504" s="2"/>
    </row>
    <row r="505">
      <c r="A505" s="2"/>
      <c r="K505" s="2"/>
    </row>
    <row r="506">
      <c r="A506" s="2"/>
      <c r="K506" s="2"/>
    </row>
    <row r="507">
      <c r="A507" s="2"/>
      <c r="K507" s="2"/>
    </row>
    <row r="508">
      <c r="A508" s="2"/>
      <c r="K508" s="2"/>
    </row>
    <row r="509">
      <c r="A509" s="2"/>
      <c r="K509" s="2"/>
    </row>
    <row r="510">
      <c r="A510" s="2"/>
      <c r="K510" s="2"/>
    </row>
    <row r="511">
      <c r="A511" s="2"/>
      <c r="K511" s="2"/>
    </row>
    <row r="512">
      <c r="A512" s="2"/>
      <c r="K512" s="2"/>
    </row>
    <row r="513">
      <c r="A513" s="2"/>
      <c r="K513" s="2"/>
    </row>
    <row r="514">
      <c r="A514" s="2"/>
      <c r="K514" s="2"/>
    </row>
    <row r="515">
      <c r="A515" s="2"/>
      <c r="K515" s="2"/>
    </row>
    <row r="516">
      <c r="A516" s="2"/>
      <c r="K516" s="2"/>
    </row>
    <row r="517">
      <c r="A517" s="2"/>
      <c r="K517" s="2"/>
    </row>
    <row r="518">
      <c r="A518" s="2"/>
      <c r="K518" s="2"/>
    </row>
    <row r="519">
      <c r="A519" s="2"/>
      <c r="K519" s="2"/>
    </row>
    <row r="520">
      <c r="A520" s="2"/>
      <c r="K520" s="2"/>
    </row>
    <row r="521">
      <c r="A521" s="2"/>
      <c r="K521" s="2"/>
    </row>
    <row r="522">
      <c r="A522" s="2"/>
      <c r="K522" s="2"/>
    </row>
    <row r="523">
      <c r="A523" s="2"/>
      <c r="K523" s="2"/>
    </row>
    <row r="524">
      <c r="A524" s="2"/>
      <c r="K524" s="2"/>
    </row>
    <row r="525">
      <c r="A525" s="2"/>
      <c r="K525" s="2"/>
    </row>
    <row r="526">
      <c r="A526" s="2"/>
      <c r="K526" s="2"/>
    </row>
    <row r="527">
      <c r="A527" s="2"/>
      <c r="K527" s="2"/>
    </row>
    <row r="528">
      <c r="A528" s="2"/>
      <c r="K528" s="2"/>
    </row>
    <row r="529">
      <c r="A529" s="2"/>
      <c r="K529" s="2"/>
    </row>
    <row r="530">
      <c r="A530" s="2"/>
      <c r="K530" s="2"/>
    </row>
    <row r="531">
      <c r="A531" s="2"/>
      <c r="K531" s="2"/>
    </row>
    <row r="532">
      <c r="A532" s="2"/>
      <c r="K532" s="2"/>
    </row>
    <row r="533">
      <c r="A533" s="2"/>
      <c r="K533" s="2"/>
    </row>
    <row r="534">
      <c r="A534" s="2"/>
      <c r="K534" s="2"/>
    </row>
    <row r="535">
      <c r="A535" s="2"/>
      <c r="K535" s="2"/>
    </row>
    <row r="536">
      <c r="A536" s="2"/>
      <c r="K536" s="2"/>
    </row>
    <row r="537">
      <c r="A537" s="2"/>
      <c r="K537" s="2"/>
    </row>
    <row r="538">
      <c r="A538" s="2"/>
      <c r="K538" s="2"/>
    </row>
    <row r="539">
      <c r="A539" s="2"/>
      <c r="K539" s="2"/>
    </row>
    <row r="540">
      <c r="A540" s="2"/>
      <c r="K540" s="2"/>
    </row>
    <row r="541">
      <c r="A541" s="2"/>
      <c r="K541" s="2"/>
    </row>
    <row r="542">
      <c r="A542" s="2"/>
      <c r="K542" s="2"/>
    </row>
    <row r="543">
      <c r="A543" s="2"/>
      <c r="K543" s="2"/>
    </row>
    <row r="544">
      <c r="A544" s="2"/>
      <c r="K544" s="2"/>
    </row>
    <row r="545">
      <c r="A545" s="2"/>
      <c r="K545" s="2"/>
    </row>
    <row r="546">
      <c r="A546" s="2"/>
      <c r="K546" s="2"/>
    </row>
    <row r="547">
      <c r="A547" s="2"/>
      <c r="K547" s="2"/>
    </row>
    <row r="548">
      <c r="A548" s="2"/>
      <c r="K548" s="2"/>
    </row>
    <row r="549">
      <c r="A549" s="2"/>
      <c r="K549" s="2"/>
    </row>
    <row r="550">
      <c r="A550" s="2"/>
      <c r="K550" s="2"/>
    </row>
    <row r="551">
      <c r="A551" s="2"/>
      <c r="K551" s="2"/>
    </row>
    <row r="552">
      <c r="A552" s="2"/>
      <c r="K552" s="2"/>
    </row>
    <row r="553">
      <c r="A553" s="2"/>
      <c r="K553" s="2"/>
    </row>
    <row r="554">
      <c r="A554" s="2"/>
      <c r="K554" s="2"/>
    </row>
    <row r="555">
      <c r="A555" s="2"/>
      <c r="K555" s="2"/>
    </row>
    <row r="556">
      <c r="A556" s="2"/>
      <c r="K556" s="2"/>
    </row>
    <row r="557">
      <c r="A557" s="2"/>
      <c r="K557" s="2"/>
    </row>
    <row r="558">
      <c r="A558" s="2"/>
      <c r="K558" s="2"/>
    </row>
    <row r="559">
      <c r="A559" s="2"/>
      <c r="K559" s="2"/>
    </row>
    <row r="560">
      <c r="A560" s="2"/>
      <c r="K560" s="2"/>
    </row>
    <row r="561">
      <c r="A561" s="2"/>
      <c r="K561" s="2"/>
    </row>
    <row r="562">
      <c r="A562" s="2"/>
      <c r="K562" s="2"/>
    </row>
    <row r="563">
      <c r="A563" s="2"/>
      <c r="K563" s="2"/>
    </row>
    <row r="564">
      <c r="A564" s="2"/>
      <c r="K564" s="2"/>
    </row>
    <row r="565">
      <c r="A565" s="2"/>
      <c r="K565" s="2"/>
    </row>
    <row r="566">
      <c r="A566" s="2"/>
      <c r="K566" s="2"/>
    </row>
    <row r="567">
      <c r="A567" s="2"/>
      <c r="K567" s="2"/>
    </row>
    <row r="568">
      <c r="A568" s="2"/>
      <c r="K568" s="2"/>
    </row>
    <row r="569">
      <c r="A569" s="2"/>
      <c r="K569" s="2"/>
    </row>
    <row r="570">
      <c r="A570" s="2"/>
      <c r="K570" s="2"/>
    </row>
    <row r="571">
      <c r="A571" s="2"/>
      <c r="K571" s="2"/>
    </row>
    <row r="572">
      <c r="A572" s="2"/>
      <c r="K572" s="2"/>
    </row>
    <row r="573">
      <c r="A573" s="2"/>
      <c r="K573" s="2"/>
    </row>
    <row r="574">
      <c r="A574" s="2"/>
      <c r="K574" s="2"/>
    </row>
    <row r="575">
      <c r="A575" s="2"/>
      <c r="K575" s="2"/>
    </row>
    <row r="576">
      <c r="A576" s="2"/>
      <c r="K576" s="2"/>
    </row>
    <row r="577">
      <c r="A577" s="2"/>
      <c r="K577" s="2"/>
    </row>
    <row r="578">
      <c r="A578" s="2"/>
      <c r="K578" s="2"/>
    </row>
    <row r="579">
      <c r="A579" s="2"/>
      <c r="K579" s="2"/>
    </row>
    <row r="580">
      <c r="A580" s="2"/>
      <c r="K580" s="2"/>
    </row>
    <row r="581">
      <c r="A581" s="2"/>
      <c r="K581" s="2"/>
    </row>
    <row r="582">
      <c r="A582" s="2"/>
      <c r="K582" s="2"/>
    </row>
    <row r="583">
      <c r="A583" s="2"/>
      <c r="K583" s="2"/>
    </row>
    <row r="584">
      <c r="A584" s="2"/>
      <c r="K584" s="2"/>
    </row>
    <row r="585">
      <c r="A585" s="2"/>
      <c r="K585" s="2"/>
    </row>
    <row r="586">
      <c r="A586" s="2"/>
      <c r="K586" s="2"/>
    </row>
    <row r="587">
      <c r="A587" s="2"/>
      <c r="K587" s="2"/>
    </row>
    <row r="588">
      <c r="A588" s="2"/>
      <c r="K588" s="2"/>
    </row>
    <row r="589">
      <c r="A589" s="2"/>
      <c r="K589" s="2"/>
    </row>
    <row r="590">
      <c r="A590" s="2"/>
      <c r="K590" s="2"/>
    </row>
    <row r="591">
      <c r="A591" s="2"/>
      <c r="K591" s="2"/>
    </row>
    <row r="592">
      <c r="A592" s="2"/>
      <c r="K592" s="2"/>
    </row>
    <row r="593">
      <c r="A593" s="2"/>
      <c r="K593" s="2"/>
    </row>
    <row r="594">
      <c r="A594" s="2"/>
      <c r="K594" s="2"/>
    </row>
    <row r="595">
      <c r="A595" s="2"/>
      <c r="K595" s="2"/>
    </row>
    <row r="596">
      <c r="A596" s="2"/>
      <c r="K596" s="2"/>
    </row>
    <row r="597">
      <c r="A597" s="2"/>
      <c r="K597" s="2"/>
    </row>
    <row r="598">
      <c r="A598" s="2"/>
      <c r="K598" s="2"/>
    </row>
    <row r="599">
      <c r="A599" s="2"/>
      <c r="K599" s="2"/>
    </row>
    <row r="600">
      <c r="A600" s="2"/>
      <c r="K600" s="2"/>
    </row>
    <row r="601">
      <c r="A601" s="2"/>
      <c r="K601" s="2"/>
    </row>
    <row r="602">
      <c r="A602" s="2"/>
      <c r="K602" s="2"/>
    </row>
    <row r="603">
      <c r="A603" s="2"/>
      <c r="K603" s="2"/>
    </row>
    <row r="604">
      <c r="A604" s="2"/>
      <c r="K604" s="2"/>
    </row>
    <row r="605">
      <c r="A605" s="2"/>
      <c r="K605" s="2"/>
    </row>
    <row r="606">
      <c r="A606" s="2"/>
      <c r="K606" s="2"/>
    </row>
    <row r="607">
      <c r="A607" s="2"/>
      <c r="K607" s="2"/>
    </row>
    <row r="608">
      <c r="A608" s="2"/>
      <c r="K608" s="2"/>
    </row>
    <row r="609">
      <c r="A609" s="2"/>
      <c r="K609" s="2"/>
    </row>
    <row r="610">
      <c r="A610" s="2"/>
      <c r="K610" s="2"/>
    </row>
    <row r="611">
      <c r="A611" s="2"/>
      <c r="K611" s="2"/>
    </row>
    <row r="612">
      <c r="A612" s="2"/>
      <c r="K612" s="2"/>
    </row>
    <row r="613">
      <c r="A613" s="2"/>
      <c r="K613" s="2"/>
    </row>
    <row r="614">
      <c r="A614" s="2"/>
      <c r="K614" s="2"/>
    </row>
    <row r="615">
      <c r="A615" s="2"/>
      <c r="K615" s="2"/>
    </row>
    <row r="616">
      <c r="A616" s="2"/>
      <c r="K616" s="2"/>
    </row>
    <row r="617">
      <c r="A617" s="2"/>
      <c r="K617" s="2"/>
    </row>
    <row r="618">
      <c r="A618" s="2"/>
      <c r="K618" s="2"/>
    </row>
    <row r="619">
      <c r="A619" s="2"/>
      <c r="K619" s="2"/>
    </row>
    <row r="620">
      <c r="A620" s="2"/>
      <c r="K620" s="2"/>
    </row>
    <row r="621">
      <c r="A621" s="2"/>
      <c r="K621" s="2"/>
    </row>
    <row r="622">
      <c r="A622" s="2"/>
      <c r="K622" s="2"/>
    </row>
    <row r="623">
      <c r="A623" s="2"/>
      <c r="K623" s="2"/>
    </row>
    <row r="624">
      <c r="A624" s="2"/>
      <c r="K624" s="2"/>
    </row>
    <row r="625">
      <c r="A625" s="2"/>
      <c r="K625" s="2"/>
    </row>
    <row r="626">
      <c r="A626" s="2"/>
      <c r="K626" s="2"/>
    </row>
    <row r="627">
      <c r="A627" s="2"/>
      <c r="K627" s="2"/>
    </row>
    <row r="628">
      <c r="A628" s="2"/>
      <c r="K628" s="2"/>
    </row>
    <row r="629">
      <c r="A629" s="2"/>
      <c r="K629" s="2"/>
    </row>
    <row r="630">
      <c r="A630" s="2"/>
      <c r="K630" s="2"/>
    </row>
    <row r="631">
      <c r="A631" s="2"/>
      <c r="K631" s="2"/>
    </row>
    <row r="632">
      <c r="A632" s="2"/>
      <c r="K632" s="2"/>
    </row>
    <row r="633">
      <c r="A633" s="2"/>
      <c r="K633" s="2"/>
    </row>
    <row r="634">
      <c r="A634" s="2"/>
      <c r="K634" s="2"/>
    </row>
    <row r="635">
      <c r="A635" s="2"/>
      <c r="K635" s="2"/>
    </row>
    <row r="636">
      <c r="A636" s="2"/>
      <c r="K636" s="2"/>
    </row>
    <row r="637">
      <c r="A637" s="2"/>
      <c r="K637" s="2"/>
    </row>
    <row r="638">
      <c r="A638" s="2"/>
      <c r="K638" s="2"/>
    </row>
    <row r="639">
      <c r="A639" s="2"/>
      <c r="K639" s="2"/>
    </row>
    <row r="640">
      <c r="A640" s="2"/>
      <c r="K640" s="2"/>
    </row>
    <row r="641">
      <c r="A641" s="2"/>
      <c r="K641" s="2"/>
    </row>
    <row r="642">
      <c r="A642" s="2"/>
      <c r="K642" s="2"/>
    </row>
    <row r="643">
      <c r="A643" s="2"/>
      <c r="K643" s="2"/>
    </row>
    <row r="644">
      <c r="A644" s="2"/>
      <c r="K644" s="2"/>
    </row>
    <row r="645">
      <c r="A645" s="2"/>
      <c r="K645" s="2"/>
    </row>
    <row r="646">
      <c r="A646" s="2"/>
      <c r="K646" s="2"/>
    </row>
    <row r="647">
      <c r="A647" s="2"/>
      <c r="K647" s="2"/>
    </row>
    <row r="648">
      <c r="A648" s="2"/>
      <c r="K648" s="2"/>
    </row>
    <row r="649">
      <c r="A649" s="2"/>
      <c r="K649" s="2"/>
    </row>
    <row r="650">
      <c r="A650" s="2"/>
      <c r="K650" s="2"/>
    </row>
    <row r="651">
      <c r="A651" s="2"/>
      <c r="K651" s="2"/>
    </row>
    <row r="652">
      <c r="A652" s="2"/>
      <c r="K652" s="2"/>
    </row>
    <row r="653">
      <c r="A653" s="2"/>
      <c r="K653" s="2"/>
    </row>
    <row r="654">
      <c r="A654" s="2"/>
      <c r="K654" s="2"/>
    </row>
    <row r="655">
      <c r="A655" s="2"/>
      <c r="K655" s="2"/>
    </row>
    <row r="656">
      <c r="A656" s="2"/>
      <c r="K656" s="2"/>
    </row>
    <row r="657">
      <c r="A657" s="2"/>
      <c r="K657" s="2"/>
    </row>
    <row r="658">
      <c r="A658" s="2"/>
      <c r="K658" s="2"/>
    </row>
    <row r="659">
      <c r="A659" s="2"/>
      <c r="K659" s="2"/>
    </row>
    <row r="660">
      <c r="A660" s="2"/>
      <c r="K660" s="2"/>
    </row>
    <row r="661">
      <c r="A661" s="2"/>
      <c r="K661" s="2"/>
    </row>
    <row r="662">
      <c r="A662" s="2"/>
      <c r="K662" s="2"/>
    </row>
    <row r="663">
      <c r="A663" s="2"/>
      <c r="K663" s="2"/>
    </row>
    <row r="664">
      <c r="A664" s="2"/>
      <c r="K664" s="2"/>
    </row>
    <row r="665">
      <c r="A665" s="2"/>
      <c r="K665" s="2"/>
    </row>
    <row r="666">
      <c r="A666" s="2"/>
      <c r="K666" s="2"/>
    </row>
    <row r="667">
      <c r="A667" s="2"/>
      <c r="K667" s="2"/>
    </row>
    <row r="668">
      <c r="A668" s="2"/>
      <c r="K668" s="2"/>
    </row>
    <row r="669">
      <c r="A669" s="2"/>
      <c r="K669" s="2"/>
    </row>
    <row r="670">
      <c r="A670" s="2"/>
      <c r="K670" s="2"/>
    </row>
    <row r="671">
      <c r="A671" s="2"/>
      <c r="K671" s="2"/>
    </row>
    <row r="672">
      <c r="A672" s="2"/>
      <c r="K672" s="2"/>
    </row>
    <row r="673">
      <c r="A673" s="2"/>
      <c r="K673" s="2"/>
    </row>
    <row r="674">
      <c r="A674" s="2"/>
      <c r="K674" s="2"/>
    </row>
    <row r="675">
      <c r="A675" s="2"/>
      <c r="K675" s="2"/>
    </row>
    <row r="676">
      <c r="A676" s="2"/>
      <c r="K676" s="2"/>
    </row>
    <row r="677">
      <c r="A677" s="2"/>
      <c r="K677" s="2"/>
    </row>
    <row r="678">
      <c r="A678" s="2"/>
      <c r="K678" s="2"/>
    </row>
    <row r="679">
      <c r="A679" s="2"/>
      <c r="K679" s="2"/>
    </row>
    <row r="680">
      <c r="A680" s="2"/>
      <c r="K680" s="2"/>
    </row>
    <row r="681">
      <c r="A681" s="2"/>
      <c r="K681" s="2"/>
    </row>
    <row r="682">
      <c r="A682" s="2"/>
      <c r="K682" s="2"/>
    </row>
    <row r="683">
      <c r="A683" s="2"/>
      <c r="K683" s="2"/>
    </row>
    <row r="684">
      <c r="A684" s="2"/>
      <c r="K684" s="2"/>
    </row>
    <row r="685">
      <c r="A685" s="2"/>
      <c r="K685" s="2"/>
    </row>
    <row r="686">
      <c r="A686" s="2"/>
      <c r="K686" s="2"/>
    </row>
    <row r="687">
      <c r="A687" s="2"/>
      <c r="K687" s="2"/>
    </row>
    <row r="688">
      <c r="A688" s="2"/>
      <c r="K688" s="2"/>
    </row>
    <row r="689">
      <c r="A689" s="2"/>
      <c r="K689" s="2"/>
    </row>
    <row r="690">
      <c r="A690" s="2"/>
      <c r="K690" s="2"/>
    </row>
    <row r="691">
      <c r="A691" s="2"/>
      <c r="K691" s="2"/>
    </row>
    <row r="692">
      <c r="A692" s="2"/>
      <c r="K692" s="2"/>
    </row>
    <row r="693">
      <c r="A693" s="2"/>
      <c r="K693" s="2"/>
    </row>
    <row r="694">
      <c r="A694" s="2"/>
      <c r="K694" s="2"/>
    </row>
    <row r="695">
      <c r="A695" s="2"/>
      <c r="K695" s="2"/>
    </row>
    <row r="696">
      <c r="A696" s="2"/>
      <c r="K696" s="2"/>
    </row>
    <row r="697">
      <c r="A697" s="2"/>
      <c r="K697" s="2"/>
    </row>
    <row r="698">
      <c r="A698" s="2"/>
      <c r="K698" s="2"/>
    </row>
    <row r="699">
      <c r="A699" s="2"/>
      <c r="K699" s="2"/>
    </row>
    <row r="700">
      <c r="A700" s="2"/>
      <c r="K700" s="2"/>
    </row>
    <row r="701">
      <c r="A701" s="2"/>
      <c r="K701" s="2"/>
    </row>
    <row r="702">
      <c r="A702" s="2"/>
      <c r="K702" s="2"/>
    </row>
    <row r="703">
      <c r="A703" s="2"/>
      <c r="K703" s="2"/>
    </row>
    <row r="704">
      <c r="A704" s="2"/>
      <c r="K704" s="2"/>
    </row>
    <row r="705">
      <c r="A705" s="2"/>
      <c r="K705" s="2"/>
    </row>
    <row r="706">
      <c r="A706" s="2"/>
      <c r="K706" s="2"/>
    </row>
    <row r="707">
      <c r="A707" s="2"/>
      <c r="K707" s="2"/>
    </row>
    <row r="708">
      <c r="A708" s="2"/>
      <c r="K708" s="2"/>
    </row>
    <row r="709">
      <c r="A709" s="2"/>
      <c r="K709" s="2"/>
    </row>
    <row r="710">
      <c r="A710" s="2"/>
      <c r="K710" s="2"/>
    </row>
    <row r="711">
      <c r="A711" s="2"/>
      <c r="K711" s="2"/>
    </row>
    <row r="712">
      <c r="A712" s="2"/>
      <c r="K712" s="2"/>
    </row>
    <row r="713">
      <c r="A713" s="2"/>
      <c r="K713" s="2"/>
    </row>
    <row r="714">
      <c r="A714" s="2"/>
      <c r="K714" s="2"/>
    </row>
    <row r="715">
      <c r="A715" s="2"/>
      <c r="K715" s="2"/>
    </row>
    <row r="716">
      <c r="A716" s="2"/>
      <c r="K716" s="2"/>
    </row>
    <row r="717">
      <c r="A717" s="2"/>
      <c r="K717" s="2"/>
    </row>
    <row r="718">
      <c r="A718" s="2"/>
      <c r="K718" s="2"/>
    </row>
    <row r="719">
      <c r="A719" s="2"/>
      <c r="K719" s="2"/>
    </row>
    <row r="720">
      <c r="A720" s="2"/>
      <c r="K720" s="2"/>
    </row>
    <row r="721">
      <c r="A721" s="2"/>
      <c r="K721" s="2"/>
    </row>
    <row r="722">
      <c r="A722" s="2"/>
      <c r="K722" s="2"/>
    </row>
    <row r="723">
      <c r="A723" s="2"/>
      <c r="K723" s="2"/>
    </row>
    <row r="724">
      <c r="A724" s="2"/>
      <c r="K724" s="2"/>
    </row>
    <row r="725">
      <c r="A725" s="2"/>
      <c r="K725" s="2"/>
    </row>
    <row r="726">
      <c r="A726" s="2"/>
      <c r="K726" s="2"/>
    </row>
    <row r="727">
      <c r="A727" s="2"/>
      <c r="K727" s="2"/>
    </row>
    <row r="728">
      <c r="A728" s="2"/>
      <c r="K728" s="2"/>
    </row>
    <row r="729">
      <c r="A729" s="2"/>
      <c r="K729" s="2"/>
    </row>
    <row r="730">
      <c r="A730" s="2"/>
      <c r="K730" s="2"/>
    </row>
    <row r="731">
      <c r="A731" s="2"/>
      <c r="K731" s="2"/>
    </row>
    <row r="732">
      <c r="A732" s="2"/>
      <c r="K732" s="2"/>
    </row>
    <row r="733">
      <c r="A733" s="2"/>
      <c r="K733" s="2"/>
    </row>
    <row r="734">
      <c r="A734" s="2"/>
      <c r="K734" s="2"/>
    </row>
    <row r="735">
      <c r="A735" s="2"/>
      <c r="K735" s="2"/>
    </row>
    <row r="736">
      <c r="A736" s="2"/>
      <c r="K736" s="2"/>
    </row>
    <row r="737">
      <c r="A737" s="2"/>
      <c r="K737" s="2"/>
    </row>
    <row r="738">
      <c r="A738" s="2"/>
      <c r="K738" s="2"/>
    </row>
    <row r="739">
      <c r="A739" s="2"/>
      <c r="K739" s="2"/>
    </row>
    <row r="740">
      <c r="A740" s="2"/>
      <c r="K740" s="2"/>
    </row>
    <row r="741">
      <c r="A741" s="2"/>
      <c r="K741" s="2"/>
    </row>
    <row r="742">
      <c r="A742" s="2"/>
      <c r="K742" s="2"/>
    </row>
    <row r="743">
      <c r="A743" s="2"/>
      <c r="K743" s="2"/>
    </row>
    <row r="744">
      <c r="A744" s="2"/>
      <c r="K744" s="2"/>
    </row>
    <row r="745">
      <c r="A745" s="2"/>
      <c r="K745" s="2"/>
    </row>
    <row r="746">
      <c r="A746" s="2"/>
      <c r="K746" s="2"/>
    </row>
    <row r="747">
      <c r="A747" s="2"/>
      <c r="K747" s="2"/>
    </row>
    <row r="748">
      <c r="A748" s="2"/>
      <c r="K748" s="2"/>
    </row>
    <row r="749">
      <c r="A749" s="2"/>
      <c r="K749" s="2"/>
    </row>
    <row r="750">
      <c r="A750" s="2"/>
      <c r="K750" s="2"/>
    </row>
    <row r="751">
      <c r="A751" s="2"/>
      <c r="K751" s="2"/>
    </row>
    <row r="752">
      <c r="A752" s="2"/>
      <c r="K752" s="2"/>
    </row>
    <row r="753">
      <c r="A753" s="2"/>
      <c r="K753" s="2"/>
    </row>
    <row r="754">
      <c r="A754" s="2"/>
      <c r="K754" s="2"/>
    </row>
    <row r="755">
      <c r="A755" s="2"/>
      <c r="K755" s="2"/>
    </row>
    <row r="756">
      <c r="A756" s="2"/>
      <c r="K756" s="2"/>
    </row>
    <row r="757">
      <c r="A757" s="2"/>
      <c r="K757" s="2"/>
    </row>
    <row r="758">
      <c r="A758" s="2"/>
      <c r="K758" s="2"/>
    </row>
    <row r="759">
      <c r="A759" s="2"/>
      <c r="K759" s="2"/>
    </row>
    <row r="760">
      <c r="A760" s="2"/>
      <c r="K760" s="2"/>
    </row>
    <row r="761">
      <c r="A761" s="2"/>
      <c r="K761" s="2"/>
    </row>
    <row r="762">
      <c r="A762" s="2"/>
      <c r="K762" s="2"/>
    </row>
    <row r="763">
      <c r="A763" s="2"/>
      <c r="K763" s="2"/>
    </row>
    <row r="764">
      <c r="A764" s="2"/>
      <c r="K764" s="2"/>
    </row>
    <row r="765">
      <c r="A765" s="2"/>
      <c r="K765" s="2"/>
    </row>
    <row r="766">
      <c r="A766" s="2"/>
      <c r="K766" s="2"/>
    </row>
    <row r="767">
      <c r="A767" s="2"/>
      <c r="K767" s="2"/>
    </row>
    <row r="768">
      <c r="A768" s="2"/>
      <c r="K768" s="2"/>
    </row>
    <row r="769">
      <c r="A769" s="2"/>
      <c r="K769" s="2"/>
    </row>
    <row r="770">
      <c r="A770" s="2"/>
      <c r="K770" s="2"/>
    </row>
    <row r="771">
      <c r="A771" s="2"/>
      <c r="K771" s="2"/>
    </row>
    <row r="772">
      <c r="A772" s="2"/>
      <c r="K772" s="2"/>
    </row>
    <row r="773">
      <c r="A773" s="2"/>
      <c r="K773" s="2"/>
    </row>
    <row r="774">
      <c r="A774" s="2"/>
      <c r="K774" s="2"/>
    </row>
    <row r="775">
      <c r="A775" s="2"/>
      <c r="K775" s="2"/>
    </row>
    <row r="776">
      <c r="A776" s="2"/>
      <c r="K776" s="2"/>
    </row>
    <row r="777">
      <c r="A777" s="2"/>
      <c r="K777" s="2"/>
    </row>
    <row r="778">
      <c r="A778" s="2"/>
      <c r="K778" s="2"/>
    </row>
    <row r="779">
      <c r="A779" s="2"/>
      <c r="K779" s="2"/>
    </row>
    <row r="780">
      <c r="A780" s="2"/>
      <c r="K780" s="2"/>
    </row>
    <row r="781">
      <c r="A781" s="2"/>
      <c r="K781" s="2"/>
    </row>
    <row r="782">
      <c r="A782" s="2"/>
      <c r="K782" s="2"/>
    </row>
    <row r="783">
      <c r="A783" s="2"/>
      <c r="K783" s="2"/>
    </row>
    <row r="784">
      <c r="A784" s="2"/>
      <c r="K784" s="2"/>
    </row>
    <row r="785">
      <c r="A785" s="2"/>
      <c r="K785" s="2"/>
    </row>
    <row r="786">
      <c r="A786" s="2"/>
      <c r="K786" s="2"/>
    </row>
    <row r="787">
      <c r="A787" s="2"/>
      <c r="K787" s="2"/>
    </row>
    <row r="788">
      <c r="A788" s="2"/>
      <c r="K788" s="2"/>
    </row>
    <row r="789">
      <c r="A789" s="2"/>
      <c r="K789" s="2"/>
    </row>
    <row r="790">
      <c r="A790" s="2"/>
      <c r="K790" s="2"/>
    </row>
    <row r="791">
      <c r="A791" s="2"/>
      <c r="K791" s="2"/>
    </row>
    <row r="792">
      <c r="A792" s="2"/>
      <c r="K792" s="2"/>
    </row>
    <row r="793">
      <c r="A793" s="2"/>
      <c r="K793" s="2"/>
    </row>
    <row r="794">
      <c r="A794" s="2"/>
      <c r="K794" s="2"/>
    </row>
    <row r="795">
      <c r="A795" s="2"/>
      <c r="K795" s="2"/>
    </row>
    <row r="796">
      <c r="A796" s="2"/>
      <c r="K796" s="2"/>
    </row>
    <row r="797">
      <c r="A797" s="2"/>
      <c r="K797" s="2"/>
    </row>
    <row r="798">
      <c r="A798" s="2"/>
      <c r="K798" s="2"/>
    </row>
    <row r="799">
      <c r="A799" s="2"/>
      <c r="K799" s="2"/>
    </row>
    <row r="800">
      <c r="A800" s="2"/>
      <c r="K800" s="2"/>
    </row>
    <row r="801">
      <c r="A801" s="2"/>
      <c r="K801" s="2"/>
    </row>
    <row r="802">
      <c r="A802" s="2"/>
      <c r="K802" s="2"/>
    </row>
    <row r="803">
      <c r="A803" s="2"/>
      <c r="K803" s="2"/>
    </row>
    <row r="804">
      <c r="A804" s="2"/>
      <c r="K804" s="2"/>
    </row>
    <row r="805">
      <c r="A805" s="2"/>
      <c r="K805" s="2"/>
    </row>
    <row r="806">
      <c r="A806" s="2"/>
      <c r="K806" s="2"/>
    </row>
    <row r="807">
      <c r="A807" s="2"/>
      <c r="K807" s="2"/>
    </row>
    <row r="808">
      <c r="A808" s="2"/>
      <c r="K808" s="2"/>
    </row>
    <row r="809">
      <c r="A809" s="2"/>
      <c r="K809" s="2"/>
    </row>
    <row r="810">
      <c r="A810" s="2"/>
      <c r="K810" s="2"/>
    </row>
    <row r="811">
      <c r="A811" s="2"/>
      <c r="K811" s="2"/>
    </row>
    <row r="812">
      <c r="A812" s="2"/>
      <c r="K812" s="2"/>
    </row>
    <row r="813">
      <c r="A813" s="2"/>
      <c r="K813" s="2"/>
    </row>
    <row r="814">
      <c r="A814" s="2"/>
      <c r="K814" s="2"/>
    </row>
    <row r="815">
      <c r="A815" s="2"/>
      <c r="K815" s="2"/>
    </row>
    <row r="816">
      <c r="A816" s="2"/>
      <c r="K816" s="2"/>
    </row>
    <row r="817">
      <c r="A817" s="2"/>
      <c r="K817" s="2"/>
    </row>
    <row r="818">
      <c r="A818" s="2"/>
      <c r="K818" s="2"/>
    </row>
    <row r="819">
      <c r="A819" s="2"/>
      <c r="K819" s="2"/>
    </row>
    <row r="820">
      <c r="A820" s="2"/>
      <c r="K820" s="2"/>
    </row>
    <row r="821">
      <c r="A821" s="2"/>
      <c r="K821" s="2"/>
    </row>
    <row r="822">
      <c r="A822" s="2"/>
      <c r="K822" s="2"/>
    </row>
    <row r="823">
      <c r="A823" s="2"/>
      <c r="K823" s="2"/>
    </row>
    <row r="824">
      <c r="A824" s="2"/>
      <c r="K824" s="2"/>
    </row>
    <row r="825">
      <c r="A825" s="2"/>
      <c r="K825" s="2"/>
    </row>
    <row r="826">
      <c r="A826" s="2"/>
      <c r="K826" s="2"/>
    </row>
    <row r="827">
      <c r="A827" s="2"/>
      <c r="K827" s="2"/>
    </row>
    <row r="828">
      <c r="A828" s="2"/>
      <c r="K828" s="2"/>
    </row>
    <row r="829">
      <c r="A829" s="2"/>
      <c r="K829" s="2"/>
    </row>
    <row r="830">
      <c r="A830" s="2"/>
      <c r="K830" s="2"/>
    </row>
    <row r="831">
      <c r="A831" s="2"/>
      <c r="K831" s="2"/>
    </row>
    <row r="832">
      <c r="A832" s="2"/>
      <c r="K832" s="2"/>
    </row>
    <row r="833">
      <c r="A833" s="2"/>
      <c r="K833" s="2"/>
    </row>
    <row r="834">
      <c r="A834" s="2"/>
      <c r="K834" s="2"/>
    </row>
    <row r="835">
      <c r="A835" s="2"/>
      <c r="K835" s="2"/>
    </row>
    <row r="836">
      <c r="A836" s="2"/>
      <c r="K836" s="2"/>
    </row>
    <row r="837">
      <c r="A837" s="2"/>
      <c r="K837" s="2"/>
    </row>
    <row r="838">
      <c r="A838" s="2"/>
      <c r="K838" s="2"/>
    </row>
    <row r="839">
      <c r="A839" s="2"/>
      <c r="K839" s="2"/>
    </row>
    <row r="840">
      <c r="A840" s="2"/>
      <c r="K840" s="2"/>
    </row>
    <row r="841">
      <c r="A841" s="2"/>
      <c r="K841" s="2"/>
    </row>
    <row r="842">
      <c r="A842" s="2"/>
      <c r="K842" s="2"/>
    </row>
    <row r="843">
      <c r="A843" s="2"/>
      <c r="K843" s="2"/>
    </row>
    <row r="844">
      <c r="A844" s="2"/>
      <c r="K844" s="2"/>
    </row>
    <row r="845">
      <c r="A845" s="2"/>
      <c r="K845" s="2"/>
    </row>
    <row r="846">
      <c r="A846" s="2"/>
      <c r="K846" s="2"/>
    </row>
    <row r="847">
      <c r="A847" s="2"/>
      <c r="K847" s="2"/>
    </row>
    <row r="848">
      <c r="A848" s="2"/>
      <c r="K848" s="2"/>
    </row>
    <row r="849">
      <c r="A849" s="2"/>
      <c r="K849" s="2"/>
    </row>
    <row r="850">
      <c r="A850" s="2"/>
      <c r="K850" s="2"/>
    </row>
    <row r="851">
      <c r="A851" s="2"/>
      <c r="K851" s="2"/>
    </row>
    <row r="852">
      <c r="A852" s="2"/>
      <c r="K852" s="2"/>
    </row>
    <row r="853">
      <c r="A853" s="2"/>
      <c r="K853" s="2"/>
    </row>
    <row r="854">
      <c r="A854" s="2"/>
      <c r="K854" s="2"/>
    </row>
    <row r="855">
      <c r="A855" s="2"/>
      <c r="K855" s="2"/>
    </row>
    <row r="856">
      <c r="A856" s="2"/>
      <c r="K856" s="2"/>
    </row>
    <row r="857">
      <c r="A857" s="2"/>
      <c r="K857" s="2"/>
    </row>
    <row r="858">
      <c r="A858" s="2"/>
      <c r="K858" s="2"/>
    </row>
    <row r="859">
      <c r="A859" s="2"/>
      <c r="K859" s="2"/>
    </row>
    <row r="860">
      <c r="A860" s="2"/>
      <c r="K860" s="2"/>
    </row>
    <row r="861">
      <c r="A861" s="2"/>
      <c r="K861" s="2"/>
    </row>
    <row r="862">
      <c r="A862" s="2"/>
      <c r="K862" s="2"/>
    </row>
    <row r="863">
      <c r="A863" s="2"/>
      <c r="K863" s="2"/>
    </row>
    <row r="864">
      <c r="A864" s="2"/>
      <c r="K864" s="2"/>
    </row>
    <row r="865">
      <c r="A865" s="2"/>
      <c r="K865" s="2"/>
    </row>
    <row r="866">
      <c r="A866" s="2"/>
      <c r="K866" s="2"/>
    </row>
    <row r="867">
      <c r="A867" s="2"/>
      <c r="K867" s="2"/>
    </row>
    <row r="868">
      <c r="A868" s="2"/>
      <c r="K868" s="2"/>
    </row>
    <row r="869">
      <c r="A869" s="2"/>
      <c r="K869" s="2"/>
    </row>
    <row r="870">
      <c r="A870" s="2"/>
      <c r="K870" s="2"/>
    </row>
    <row r="871">
      <c r="A871" s="2"/>
      <c r="K871" s="2"/>
    </row>
    <row r="872">
      <c r="A872" s="2"/>
      <c r="K872" s="2"/>
    </row>
    <row r="873">
      <c r="A873" s="2"/>
      <c r="K873" s="2"/>
    </row>
    <row r="874">
      <c r="A874" s="2"/>
      <c r="K874" s="2"/>
    </row>
    <row r="875">
      <c r="A875" s="2"/>
      <c r="K875" s="2"/>
    </row>
    <row r="876">
      <c r="A876" s="2"/>
      <c r="K876" s="2"/>
    </row>
    <row r="877">
      <c r="A877" s="2"/>
      <c r="K877" s="2"/>
    </row>
    <row r="878">
      <c r="A878" s="2"/>
      <c r="K878" s="2"/>
    </row>
    <row r="879">
      <c r="A879" s="2"/>
      <c r="K879" s="2"/>
    </row>
    <row r="880">
      <c r="A880" s="2"/>
      <c r="K880" s="2"/>
    </row>
    <row r="881">
      <c r="A881" s="2"/>
      <c r="K881" s="2"/>
    </row>
    <row r="882">
      <c r="A882" s="2"/>
      <c r="K882" s="2"/>
    </row>
    <row r="883">
      <c r="A883" s="2"/>
      <c r="K883" s="2"/>
    </row>
    <row r="884">
      <c r="A884" s="2"/>
      <c r="K884" s="2"/>
    </row>
    <row r="885">
      <c r="A885" s="2"/>
      <c r="K885" s="2"/>
    </row>
    <row r="886">
      <c r="A886" s="2"/>
      <c r="K886" s="2"/>
    </row>
    <row r="887">
      <c r="A887" s="2"/>
      <c r="K887" s="2"/>
    </row>
    <row r="888">
      <c r="A888" s="2"/>
      <c r="K888" s="2"/>
    </row>
    <row r="889">
      <c r="A889" s="2"/>
      <c r="K889" s="2"/>
    </row>
    <row r="890">
      <c r="A890" s="2"/>
      <c r="K890" s="2"/>
    </row>
    <row r="891">
      <c r="A891" s="2"/>
      <c r="K891" s="2"/>
    </row>
    <row r="892">
      <c r="A892" s="2"/>
      <c r="K892" s="2"/>
    </row>
    <row r="893">
      <c r="A893" s="2"/>
      <c r="K893" s="2"/>
    </row>
    <row r="894">
      <c r="A894" s="2"/>
      <c r="K894" s="2"/>
    </row>
    <row r="895">
      <c r="A895" s="2"/>
      <c r="K895" s="2"/>
    </row>
    <row r="896">
      <c r="A896" s="2"/>
      <c r="K896" s="2"/>
    </row>
    <row r="897">
      <c r="A897" s="2"/>
      <c r="K897" s="2"/>
    </row>
    <row r="898">
      <c r="A898" s="2"/>
      <c r="K898" s="2"/>
    </row>
    <row r="899">
      <c r="A899" s="2"/>
      <c r="K899" s="2"/>
    </row>
    <row r="900">
      <c r="A900" s="2"/>
      <c r="K900" s="2"/>
    </row>
    <row r="901">
      <c r="A901" s="2"/>
      <c r="K901" s="2"/>
    </row>
    <row r="902">
      <c r="A902" s="2"/>
      <c r="K902" s="2"/>
    </row>
    <row r="903">
      <c r="A903" s="2"/>
      <c r="K903" s="2"/>
    </row>
    <row r="904">
      <c r="A904" s="2"/>
      <c r="K904" s="2"/>
    </row>
    <row r="905">
      <c r="A905" s="2"/>
      <c r="K905" s="2"/>
    </row>
    <row r="906">
      <c r="A906" s="2"/>
      <c r="K906" s="2"/>
    </row>
    <row r="907">
      <c r="A907" s="2"/>
      <c r="K907" s="2"/>
    </row>
    <row r="908">
      <c r="A908" s="2"/>
      <c r="K908" s="2"/>
    </row>
    <row r="909">
      <c r="A909" s="2"/>
      <c r="K909" s="2"/>
    </row>
    <row r="910">
      <c r="A910" s="2"/>
      <c r="K910" s="2"/>
    </row>
    <row r="911">
      <c r="A911" s="2"/>
      <c r="K911" s="2"/>
    </row>
    <row r="912">
      <c r="A912" s="2"/>
      <c r="K912" s="2"/>
    </row>
    <row r="913">
      <c r="A913" s="2"/>
      <c r="K913" s="2"/>
    </row>
    <row r="914">
      <c r="A914" s="2"/>
      <c r="K914" s="2"/>
    </row>
    <row r="915">
      <c r="A915" s="2"/>
      <c r="K915" s="2"/>
    </row>
    <row r="916">
      <c r="A916" s="2"/>
      <c r="K916" s="2"/>
    </row>
    <row r="917">
      <c r="A917" s="2"/>
      <c r="K917" s="2"/>
    </row>
    <row r="918">
      <c r="A918" s="2"/>
      <c r="K918" s="2"/>
    </row>
    <row r="919">
      <c r="A919" s="2"/>
      <c r="K919" s="2"/>
    </row>
    <row r="920">
      <c r="A920" s="2"/>
      <c r="K920" s="2"/>
    </row>
    <row r="921">
      <c r="A921" s="2"/>
      <c r="K921" s="2"/>
    </row>
    <row r="922">
      <c r="A922" s="2"/>
      <c r="K922" s="2"/>
    </row>
    <row r="923">
      <c r="A923" s="2"/>
      <c r="K923" s="2"/>
    </row>
    <row r="924">
      <c r="A924" s="2"/>
      <c r="K924" s="2"/>
    </row>
    <row r="925">
      <c r="A925" s="2"/>
      <c r="K925" s="2"/>
    </row>
    <row r="926">
      <c r="A926" s="2"/>
      <c r="K926" s="2"/>
    </row>
    <row r="927">
      <c r="A927" s="2"/>
      <c r="K927" s="2"/>
    </row>
    <row r="928">
      <c r="A928" s="2"/>
      <c r="K928" s="2"/>
    </row>
    <row r="929">
      <c r="A929" s="2"/>
      <c r="K929" s="2"/>
    </row>
    <row r="930">
      <c r="A930" s="2"/>
      <c r="K930" s="2"/>
    </row>
    <row r="931">
      <c r="A931" s="2"/>
      <c r="K931" s="2"/>
    </row>
    <row r="932">
      <c r="A932" s="2"/>
      <c r="K932" s="2"/>
    </row>
    <row r="933">
      <c r="A933" s="2"/>
      <c r="K933" s="2"/>
    </row>
    <row r="934">
      <c r="A934" s="2"/>
      <c r="K934" s="2"/>
    </row>
    <row r="935">
      <c r="A935" s="2"/>
      <c r="K935" s="2"/>
    </row>
    <row r="936">
      <c r="A936" s="2"/>
      <c r="K936" s="2"/>
    </row>
    <row r="937">
      <c r="A937" s="2"/>
      <c r="K937" s="2"/>
    </row>
    <row r="938">
      <c r="A938" s="2"/>
      <c r="K938" s="2"/>
    </row>
    <row r="939">
      <c r="A939" s="2"/>
      <c r="K939" s="2"/>
    </row>
    <row r="940">
      <c r="A940" s="2"/>
      <c r="K940" s="2"/>
    </row>
    <row r="941">
      <c r="A941" s="2"/>
      <c r="K941" s="2"/>
    </row>
    <row r="942">
      <c r="A942" s="2"/>
      <c r="K942" s="2"/>
    </row>
    <row r="943">
      <c r="A943" s="2"/>
      <c r="K943" s="2"/>
    </row>
    <row r="944">
      <c r="A944" s="2"/>
      <c r="K944" s="2"/>
    </row>
    <row r="945">
      <c r="A945" s="2"/>
      <c r="K945" s="2"/>
    </row>
    <row r="946">
      <c r="A946" s="2"/>
      <c r="K946" s="2"/>
    </row>
    <row r="947">
      <c r="A947" s="2"/>
      <c r="K947" s="2"/>
    </row>
    <row r="948">
      <c r="A948" s="2"/>
      <c r="K948" s="2"/>
    </row>
    <row r="949">
      <c r="A949" s="2"/>
      <c r="K949" s="2"/>
    </row>
    <row r="950">
      <c r="A950" s="2"/>
      <c r="K950" s="2"/>
    </row>
    <row r="951">
      <c r="A951" s="2"/>
      <c r="K951" s="2"/>
    </row>
    <row r="952">
      <c r="A952" s="2"/>
      <c r="K952" s="2"/>
    </row>
    <row r="953">
      <c r="A953" s="2"/>
      <c r="K953" s="2"/>
    </row>
    <row r="954">
      <c r="A954" s="2"/>
      <c r="K954" s="2"/>
    </row>
    <row r="955">
      <c r="A955" s="2"/>
      <c r="K955" s="2"/>
    </row>
    <row r="956">
      <c r="A956" s="2"/>
      <c r="K956" s="2"/>
    </row>
    <row r="957">
      <c r="A957" s="2"/>
      <c r="K957" s="2"/>
    </row>
    <row r="958">
      <c r="A958" s="2"/>
      <c r="K958" s="2"/>
    </row>
    <row r="959">
      <c r="A959" s="2"/>
      <c r="K959" s="2"/>
    </row>
    <row r="960">
      <c r="A960" s="2"/>
      <c r="K960" s="2"/>
    </row>
    <row r="961">
      <c r="A961" s="2"/>
      <c r="K961" s="2"/>
    </row>
    <row r="962">
      <c r="A962" s="2"/>
      <c r="K962" s="2"/>
    </row>
    <row r="963">
      <c r="A963" s="2"/>
      <c r="K963" s="2"/>
    </row>
    <row r="964">
      <c r="A964" s="2"/>
      <c r="K964" s="2"/>
    </row>
    <row r="965">
      <c r="A965" s="2"/>
      <c r="K965" s="2"/>
    </row>
    <row r="966">
      <c r="A966" s="2"/>
      <c r="K966" s="2"/>
    </row>
    <row r="967">
      <c r="A967" s="2"/>
      <c r="K967" s="2"/>
    </row>
    <row r="968">
      <c r="A968" s="2"/>
      <c r="K968" s="2"/>
    </row>
    <row r="969">
      <c r="A969" s="2"/>
      <c r="K969" s="2"/>
    </row>
    <row r="970">
      <c r="A970" s="2"/>
      <c r="K970" s="2"/>
    </row>
    <row r="971">
      <c r="A971" s="2"/>
      <c r="K971" s="2"/>
    </row>
    <row r="972">
      <c r="A972" s="2"/>
      <c r="K972" s="2"/>
    </row>
    <row r="973">
      <c r="A973" s="2"/>
      <c r="K973" s="2"/>
    </row>
    <row r="974">
      <c r="A974" s="2"/>
      <c r="K974" s="2"/>
    </row>
    <row r="975">
      <c r="A975" s="2"/>
      <c r="K975" s="2"/>
    </row>
    <row r="976">
      <c r="A976" s="2"/>
      <c r="K976" s="2"/>
    </row>
    <row r="977">
      <c r="A977" s="2"/>
      <c r="K977" s="2"/>
    </row>
    <row r="978">
      <c r="A978" s="2"/>
      <c r="K978" s="2"/>
    </row>
    <row r="979">
      <c r="A979" s="2"/>
      <c r="K979" s="2"/>
    </row>
    <row r="980">
      <c r="A980" s="2"/>
      <c r="K980" s="2"/>
    </row>
    <row r="981">
      <c r="A981" s="2"/>
      <c r="K981" s="2"/>
    </row>
    <row r="982">
      <c r="A982" s="2"/>
      <c r="K982" s="2"/>
    </row>
    <row r="983">
      <c r="A983" s="2"/>
      <c r="K983" s="2"/>
    </row>
    <row r="984">
      <c r="A984" s="2"/>
      <c r="K984" s="2"/>
    </row>
    <row r="985">
      <c r="A985" s="2"/>
      <c r="K985" s="2"/>
    </row>
    <row r="986">
      <c r="A986" s="2"/>
      <c r="K986" s="2"/>
    </row>
    <row r="987">
      <c r="A987" s="2"/>
      <c r="K987" s="2"/>
    </row>
    <row r="988">
      <c r="A988" s="2"/>
      <c r="K988" s="2"/>
    </row>
    <row r="989">
      <c r="A989" s="2"/>
      <c r="K989" s="2"/>
    </row>
    <row r="990">
      <c r="A990" s="2"/>
      <c r="K990" s="2"/>
    </row>
    <row r="991">
      <c r="A991" s="2"/>
      <c r="K991" s="2"/>
    </row>
    <row r="992">
      <c r="A992" s="2"/>
      <c r="K992" s="2"/>
    </row>
    <row r="993">
      <c r="A993" s="2"/>
      <c r="K993" s="2"/>
    </row>
    <row r="994">
      <c r="A994" s="2"/>
      <c r="K994" s="2"/>
    </row>
    <row r="995">
      <c r="A995" s="2"/>
      <c r="K995" s="2"/>
    </row>
    <row r="996">
      <c r="A996" s="2"/>
      <c r="K996" s="2"/>
    </row>
    <row r="997">
      <c r="A997" s="2"/>
      <c r="K997" s="2"/>
    </row>
    <row r="998">
      <c r="A998" s="2"/>
      <c r="K998" s="2"/>
    </row>
    <row r="999">
      <c r="A999" s="2"/>
      <c r="K999" s="2"/>
    </row>
    <row r="1000">
      <c r="A1000" s="2"/>
      <c r="K1000" s="2"/>
    </row>
    <row r="1001">
      <c r="A1001" s="2"/>
      <c r="K1001" s="2"/>
    </row>
  </sheetData>
  <drawing r:id="rId1"/>
</worksheet>
</file>