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 1" sheetId="1" r:id="rId3"/>
  </sheets>
  <definedNames/>
  <calcPr/>
</workbook>
</file>

<file path=xl/sharedStrings.xml><?xml version="1.0" encoding="utf-8"?>
<sst xmlns="http://schemas.openxmlformats.org/spreadsheetml/2006/main" count="352" uniqueCount="285">
  <si>
    <t>COSTS</t>
  </si>
  <si>
    <t>Exergy</t>
  </si>
  <si>
    <t>Enhet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</si>
  <si>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</si>
  <si>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</si>
  <si>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</si>
  <si>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</si>
  <si>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</si>
  <si>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</si>
  <si>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</si>
  <si>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</si>
  <si>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</si>
  <si>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</si>
  <si>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</si>
  <si>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</si>
  <si>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</si>
  <si>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</si>
  <si>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</si>
  <si>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</si>
  <si>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</si>
  <si>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</si>
  <si>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</si>
  <si>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</si>
  <si>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</si>
  <si>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R-1</t>
  </si>
  <si>
    <t>SUM</t>
  </si>
  <si>
    <t>US$(2007) to NOK(2016)</t>
  </si>
  <si>
    <t>T_in</t>
  </si>
  <si>
    <t>T_out</t>
  </si>
  <si>
    <t>n_carnot</t>
  </si>
  <si>
    <t>Duty
[kWh=kJ/3600h]</t>
  </si>
  <si>
    <t>Electricty</t>
  </si>
  <si>
    <t>Price</t>
  </si>
  <si>
    <t>Compressors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</si>
  <si>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</si>
  <si>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</si>
  <si>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</si>
  <si>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</si>
  <si>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</si>
  <si>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</si>
  <si>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</si>
  <si>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</si>
  <si>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</si>
  <si>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K-13</t>
  </si>
  <si>
    <t>centrifugal [kW]</t>
  </si>
  <si>
    <t>KILDE</t>
  </si>
  <si>
    <t>a</t>
  </si>
  <si>
    <t>Index 2016</t>
  </si>
  <si>
    <t>http://www.chemengonline.com/current-economic-trends-march-2016/</t>
  </si>
  <si>
    <t>b</t>
  </si>
  <si>
    <t>omgjøring fra duty til elektrisitet</t>
  </si>
  <si>
    <t>https://en.wikipedia.org/wiki/Energy_conversion_efficiency</t>
  </si>
  <si>
    <t>n</t>
  </si>
  <si>
    <t>rho_ss304</t>
  </si>
  <si>
    <t>http://www.aksteel.com/pdf/markets_products/stainless/austenitic/304_304l_data_sheet.pdf</t>
  </si>
  <si>
    <t>C_e</t>
  </si>
  <si>
    <t>Cost[NOK](2016)</t>
  </si>
  <si>
    <t>Cost[US$](2007)</t>
  </si>
  <si>
    <t>Stainless steal 304 factor</t>
  </si>
  <si>
    <t>Reactors</t>
  </si>
  <si>
    <t>void fraction</t>
  </si>
  <si>
    <t>R-2</t>
  </si>
  <si>
    <t>R-3</t>
  </si>
  <si>
    <t>R-4</t>
  </si>
  <si>
    <t>R-5</t>
  </si>
  <si>
    <t>R-6</t>
  </si>
  <si>
    <t>SUM R1</t>
  </si>
  <si>
    <t>tau [s]</t>
  </si>
  <si>
    <t>V_outer</t>
  </si>
  <si>
    <t>delta(l)</t>
  </si>
  <si>
    <t>delta(N)</t>
  </si>
  <si>
    <t>Vo_flow [m^3/s]</t>
  </si>
  <si>
    <t>V_inner</t>
  </si>
  <si>
    <t>delta(l_100%)</t>
  </si>
  <si>
    <t>delta(N_min)</t>
  </si>
  <si>
    <t>Vo [m^3]</t>
  </si>
  <si>
    <t>V_wall</t>
  </si>
  <si>
    <t>delta(l)/delta(l_100%)</t>
  </si>
  <si>
    <t>V_flow [m^3/s]</t>
  </si>
  <si>
    <t>Tubes</t>
  </si>
  <si>
    <t xml:space="preserve">delta(d) </t>
  </si>
  <si>
    <t>V [m^3]</t>
  </si>
  <si>
    <t>d</t>
  </si>
  <si>
    <t>Ratio V1_flow SteamCarbon vs Standard</t>
  </si>
  <si>
    <t>delta(t_w)</t>
  </si>
  <si>
    <t>t_w</t>
  </si>
  <si>
    <t>delta(d_min)</t>
  </si>
  <si>
    <t xml:space="preserve">l </t>
  </si>
  <si>
    <t>delta(t_w_min)</t>
  </si>
  <si>
    <t>V_all_tubes</t>
  </si>
  <si>
    <t>fm(Ni Inconel)/fm(ss)</t>
  </si>
  <si>
    <t>Cost u/R1[US$(2007)</t>
  </si>
  <si>
    <t>CostR1[NOK](2016)</t>
  </si>
  <si>
    <t>Exchangers</t>
  </si>
  <si>
    <t>H-22</t>
  </si>
  <si>
    <t>H-23</t>
  </si>
  <si>
    <t>SUM Ce</t>
  </si>
  <si>
    <t>U
[W/m^2K]</t>
  </si>
  <si>
    <t>Q
[W]</t>
  </si>
  <si>
    <t>HAR BARE ANTATT AT U LIGGER MELLOM 350-450</t>
  </si>
  <si>
    <t>DelT</t>
  </si>
  <si>
    <t>Shell and tube [m^2]</t>
  </si>
  <si>
    <t>Separators</t>
  </si>
  <si>
    <t>V-1</t>
  </si>
  <si>
    <t>V-2</t>
  </si>
  <si>
    <t>V-3</t>
  </si>
  <si>
    <t>V-4</t>
  </si>
  <si>
    <t>V-5</t>
  </si>
  <si>
    <t>V-6</t>
  </si>
  <si>
    <t>V-7</t>
  </si>
  <si>
    <t>V-8</t>
  </si>
  <si>
    <t>rho_L [kg/m^3]</t>
  </si>
  <si>
    <t>rho_v  [kg/m^3]</t>
  </si>
  <si>
    <t>u_t [m/s]</t>
  </si>
  <si>
    <t>Vv [m^3/s]</t>
  </si>
  <si>
    <t>FOR V-3 ANTAS DET BEREGNINGER UTEN VÆSKE DEL</t>
  </si>
  <si>
    <t>Dv [m]</t>
  </si>
  <si>
    <t>Dv(ft round up)</t>
  </si>
  <si>
    <t>NY Dv [m]</t>
  </si>
  <si>
    <t>V_L [m^3/s]</t>
  </si>
  <si>
    <t>Det er ingen væskestrøm, men antar kolonna beregnes uten volum av liquid</t>
  </si>
  <si>
    <t>Hold up time [s]</t>
  </si>
  <si>
    <t>Volume held in vessel [m^3]</t>
  </si>
  <si>
    <t>h_v</t>
  </si>
  <si>
    <t>h_tot</t>
  </si>
  <si>
    <t>P_operating</t>
  </si>
  <si>
    <t>P_design [N/m^2]</t>
  </si>
  <si>
    <t>SE (shear stress SS 304)</t>
  </si>
  <si>
    <t>t_w (m)</t>
  </si>
  <si>
    <t>rho (stainless steel 304)</t>
  </si>
  <si>
    <t>Shellmass</t>
  </si>
  <si>
    <t>C_e [$  USGC 2007]</t>
  </si>
  <si>
    <t>Absorber</t>
  </si>
  <si>
    <t>C-1</t>
  </si>
  <si>
    <t>C-2</t>
  </si>
  <si>
    <t>C-3</t>
  </si>
  <si>
    <t>C-4</t>
  </si>
  <si>
    <t>sievetrays</t>
  </si>
  <si>
    <t>diameter [m]</t>
  </si>
  <si>
    <t>C_e [$ 2007]</t>
  </si>
  <si>
    <t>t_w[m]</t>
  </si>
  <si>
    <t>V_sylinder [m^3]</t>
  </si>
  <si>
    <t>h_sylinder [m]</t>
  </si>
  <si>
    <t>ANTATT (15 TRINN PÅ 0.5M + ca 2m til)</t>
  </si>
  <si>
    <t>V_vegg[m^3]</t>
  </si>
  <si>
    <t>V_ToppBunn [m^3]</t>
  </si>
  <si>
    <t>V_tot_steel [m^3]</t>
  </si>
  <si>
    <t>rho_stainlesssteal 8.03 g/cm^3 --&gt; [kg/m^3]</t>
  </si>
  <si>
    <t>pressure vessel, vertical 304 ss [kg]</t>
  </si>
  <si>
    <t>C_e [$2007]</t>
  </si>
  <si>
    <t>P_design[Pa]</t>
  </si>
  <si>
    <t>PUMPS</t>
  </si>
  <si>
    <t>P-1</t>
  </si>
  <si>
    <t>P-2</t>
  </si>
  <si>
    <t>P-3</t>
  </si>
  <si>
    <t>P-4</t>
  </si>
  <si>
    <t>single-stage sentrifugal, flow [L/s]</t>
  </si>
  <si>
    <t>f_m(Ni Inconel)</t>
  </si>
  <si>
    <t>f_m(ss)</t>
  </si>
  <si>
    <t>Methane recycle costs</t>
  </si>
  <si>
    <t>Cost</t>
  </si>
  <si>
    <t>f_er</t>
  </si>
  <si>
    <t>f_p</t>
  </si>
  <si>
    <t>C_e [$]</t>
  </si>
  <si>
    <t>f_i</t>
  </si>
  <si>
    <t>Mol CH4 [mol/h]</t>
  </si>
  <si>
    <t>fra hysys</t>
  </si>
  <si>
    <t>Explosion proof motor, power [kW]</t>
  </si>
  <si>
    <t>f_el</t>
  </si>
  <si>
    <t>Mol H2 [mol/h]</t>
  </si>
  <si>
    <t>f_c</t>
  </si>
  <si>
    <t>dHrx(H2) (kWh/mol H2)</t>
  </si>
  <si>
    <t>f_s</t>
  </si>
  <si>
    <t>dHrx(CH4) (kWh/mol CH4)</t>
  </si>
  <si>
    <t>f_l</t>
  </si>
  <si>
    <t>Duty R1 [kWh/h] heat energy</t>
  </si>
  <si>
    <t>OS</t>
  </si>
  <si>
    <t>Energy from CH4 purge [kJ/h = 1/3600 kWh/h]</t>
  </si>
  <si>
    <t>C_e_pump[US$](2007)</t>
  </si>
  <si>
    <t>D&amp;E</t>
  </si>
  <si>
    <t>Energy from H2 purge [kJ/h = 1/3600 kWh/h]</t>
  </si>
  <si>
    <t>X</t>
  </si>
  <si>
    <t>Required energy from Methane [kWh/h]</t>
  </si>
  <si>
    <t>C_ei_A</t>
  </si>
  <si>
    <t xml:space="preserve">n_CH4 [mol/h] </t>
  </si>
  <si>
    <t>C u/R1</t>
  </si>
  <si>
    <t>n_O2 [mol/h]</t>
  </si>
  <si>
    <t>beregnet mengde o2 som trengs</t>
  </si>
  <si>
    <t>C R1</t>
  </si>
  <si>
    <t>Mengde luft [mol/h]</t>
  </si>
  <si>
    <t>C</t>
  </si>
  <si>
    <t>ISBL</t>
  </si>
  <si>
    <t>n_N2 [mol/h]</t>
  </si>
  <si>
    <t>Røykgass består av N2,Ar,CO2,H20</t>
  </si>
  <si>
    <t>n_Ar [mol/h]</t>
  </si>
  <si>
    <t>Tot cap cost(2007)</t>
  </si>
  <si>
    <t>cost exergy-tot_cap_cost</t>
  </si>
  <si>
    <t>n_CO2 [mol/h]</t>
  </si>
  <si>
    <t>C_exergy(2007)</t>
  </si>
  <si>
    <t>n_H20 [mol/h]</t>
  </si>
  <si>
    <t>C_cap(2016)</t>
  </si>
  <si>
    <t>n_tot_fluegas [mol/h]</t>
  </si>
  <si>
    <t>C_tot(2016)</t>
  </si>
  <si>
    <t>x_N2</t>
  </si>
  <si>
    <t>x_Ar</t>
  </si>
  <si>
    <t>x_CO2</t>
  </si>
  <si>
    <t>x_H2O</t>
  </si>
  <si>
    <t>Cp_N2 [J/K*mol]</t>
  </si>
  <si>
    <t>Har funnet Cp for tempratur mellom Tinn=760 og Tut=220</t>
  </si>
  <si>
    <t>Energy extra from R1[kWh]</t>
  </si>
  <si>
    <t>tull</t>
  </si>
  <si>
    <t>Cp_Ar [J/K*mol]</t>
  </si>
  <si>
    <t>Cost of extra energy R1 [NOK/h]</t>
  </si>
  <si>
    <t>Cp_CO2 [J/K*mol]</t>
  </si>
  <si>
    <t>Price for extra methane [NOK/h]</t>
  </si>
  <si>
    <t>Cp_H20 [J/K*mol]</t>
  </si>
  <si>
    <t>Cost of Feed Naturgas [kg/h]</t>
  </si>
  <si>
    <t>Cp_avg [kWh/K*mol]</t>
  </si>
  <si>
    <t>Cost of Feed Naturgas [NOK/h]</t>
  </si>
  <si>
    <t>E=nCPdT [kWh]</t>
  </si>
  <si>
    <t xml:space="preserve">energien fluegas </t>
  </si>
  <si>
    <t>Amount of Product NH3 [kg/h]</t>
  </si>
  <si>
    <t>Electricty [kWh/h]</t>
  </si>
  <si>
    <t>Cost Product</t>
  </si>
  <si>
    <t>kg(CH4)/h excess</t>
  </si>
  <si>
    <t>Cost of steam[NOK/h]</t>
  </si>
  <si>
    <t>Electricity price[NOK/kWh]</t>
  </si>
  <si>
    <t>Cost of CH4 [kJ/h]</t>
  </si>
  <si>
    <t>electricity price</t>
  </si>
  <si>
    <t>Natural Gas Price (NOK / Million Metric British Thermal Unit)</t>
  </si>
  <si>
    <t>per 2016 sept</t>
  </si>
  <si>
    <t>Steam production cost calculation</t>
  </si>
  <si>
    <t>price CH4</t>
  </si>
  <si>
    <t>1 BTU</t>
  </si>
  <si>
    <t>GJ</t>
  </si>
  <si>
    <t>Molar flow steam[kmol/h]
</t>
  </si>
  <si>
    <t>feed [kg/h]</t>
  </si>
  <si>
    <t>Molar mass H2O[kg/kmol]</t>
  </si>
  <si>
    <t>dHrx_CH4 [kJ/kmol]</t>
  </si>
  <si>
    <t>Mass flow steam[ton/h]
</t>
  </si>
  <si>
    <t>Working capital</t>
  </si>
  <si>
    <t>price natural gas [NOK/GJ]</t>
  </si>
  <si>
    <t>Price MP steam[£/ton]
</t>
  </si>
  <si>
    <t>salary operators</t>
  </si>
  <si>
    <t>Mm_CH4 [kg/kmol]</t>
  </si>
  <si>
    <t>NOK/£(13:37 15.11.2016)</t>
  </si>
  <si>
    <t>supervision</t>
  </si>
  <si>
    <t>føde [kmol/h]</t>
  </si>
  <si>
    <t>Cost of producing steam[NOK/h]</t>
  </si>
  <si>
    <t>direct salary overhead</t>
  </si>
  <si>
    <t>feed [kJ/h]</t>
  </si>
  <si>
    <t>cost CH4 [NOK/year]</t>
  </si>
  <si>
    <t>feed [GJ/h]</t>
  </si>
  <si>
    <t>cost of steam [NOK/year]</t>
  </si>
  <si>
    <t>Price CH4 [NOK/h]</t>
  </si>
  <si>
    <t>compressor costs</t>
  </si>
  <si>
    <t>eiendomsskatt</t>
  </si>
  <si>
    <t xml:space="preserve">Compressor costs </t>
  </si>
  <si>
    <t>SUM [NOK/h]</t>
  </si>
  <si>
    <t>total duty [kW] = [kWh/h]</t>
  </si>
  <si>
    <t>Cost [NOK/h]</t>
  </si>
  <si>
    <t>annual sale income [NOK/year]</t>
  </si>
  <si>
    <t>product</t>
  </si>
  <si>
    <t>exergy</t>
  </si>
  <si>
    <t>sum</t>
  </si>
  <si>
    <t>annual service expences</t>
  </si>
  <si>
    <t>vedlikehold</t>
  </si>
  <si>
    <t>1% av ISBL</t>
  </si>
  <si>
    <t>Variable costs</t>
  </si>
  <si>
    <t>Fixed costs of production</t>
  </si>
  <si>
    <t>annual expences</t>
  </si>
  <si>
    <t>5-30% av fixed capital investment</t>
  </si>
  <si>
    <t>salary operators (15 operators)</t>
  </si>
  <si>
    <t>product [NOK/year]</t>
  </si>
  <si>
    <t>variable</t>
  </si>
  <si>
    <t>exergy [NOK/year]</t>
  </si>
  <si>
    <t>fixed</t>
  </si>
  <si>
    <t>40-60% av operating labour+supervision</t>
  </si>
  <si>
    <t>3-5%ISBL</t>
  </si>
  <si>
    <t>1-2%ISBL fixed cap</t>
  </si>
  <si>
    <t>Annual income</t>
  </si>
  <si>
    <t>SUMv[NOK/year]</t>
  </si>
  <si>
    <t>Annual service expenses</t>
  </si>
  <si>
    <t>Investment</t>
  </si>
  <si>
    <t>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</si>
</sst>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name val="Calibri"/>
    </font>
    <font/>
    <font>
      <color rgb="FF000000"/>
      <name val="Calibri"/>
    </font>
    <font>
      <sz val="11.0"/>
      <color rgb="FF000000"/>
      <name val="Inconsolata"/>
    </font>
    <font>
      <sz val="11.0"/>
      <color rgb="FF000000"/>
      <name val="Calibri"/>
    </font>
    <font>
      <u/>
      <sz val="12.0"/>
      <color rgb="FF000000"/>
      <name val="Calibri"/>
    </font>
    <font>
      <color rgb="FF000000"/>
      <name val="Arial"/>
    </font>
    <font>
      <u/>
      <color rgb="FF1155CC"/>
      <name val="Calibri"/>
    </font>
    <font>
      <b/>
      <name val="Calibri"/>
    </font>
    <font>
      <b/>
      <sz val="11.0"/>
      <color rgb="FF333333"/>
      <name val="Helvetica Neue"/>
    </font>
    <font>
      <sz val="11.0"/>
      <color rgb="FF333333"/>
      <name val="Helvetica Neue"/>
    </font>
    <font>
      <name val="Arial"/>
    </font>
    <font>
      <sz val="12.0"/>
      <name val="Calibri"/>
    </font>
    <font>
      <u/>
      <sz val="12.0"/>
      <name val="Calibri"/>
    </font>
    <font>
      <sz val="11.0"/>
      <name val="Inconsolata"/>
    </font>
    <font>
      <sz val="11.0"/>
      <color rgb="FFF7981D"/>
      <name val="Inconsolata"/>
    </font>
  </fonts>
  <fills count="15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E5ECF9"/>
        <bgColor rgb="FFE5ECF9"/>
      </patternFill>
    </fill>
    <fill>
      <patternFill patternType="solid">
        <fgColor rgb="FFEFEFEF"/>
        <bgColor rgb="FFEFEFEF"/>
      </patternFill>
    </fill>
    <fill>
      <patternFill patternType="solid">
        <fgColor rgb="FFFF00FF"/>
        <bgColor rgb="FFFF00FF"/>
      </patternFill>
    </fill>
    <fill>
      <patternFill patternType="solid">
        <fgColor rgb="FFF6B26B"/>
        <bgColor rgb="FFF6B26B"/>
      </patternFill>
    </fill>
  </fills>
  <borders count="6">
    <border>
      <left/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Border="1" applyFont="1">
      <alignment/>
    </xf>
    <xf borderId="0" fillId="0" fontId="3" numFmtId="0" xfId="0" applyAlignment="1" applyBorder="1" applyFont="1">
      <alignment/>
    </xf>
    <xf borderId="0" fillId="0" fontId="3" numFmtId="0" xfId="0" applyAlignment="1" applyFont="1">
      <alignment/>
    </xf>
    <xf borderId="0" fillId="0" fontId="3" numFmtId="0" xfId="0" applyAlignment="1" applyBorder="1" applyFont="1">
      <alignment/>
    </xf>
    <xf borderId="0" fillId="2" fontId="2" numFmtId="0" xfId="0" applyAlignment="1" applyBorder="1" applyFill="1" applyFont="1">
      <alignment/>
    </xf>
    <xf borderId="0" fillId="3" fontId="4" numFmtId="0" xfId="0" applyAlignment="1" applyFill="1" applyFont="1">
      <alignment/>
    </xf>
    <xf borderId="0" fillId="4" fontId="3" numFmtId="0" xfId="0" applyAlignment="1" applyBorder="1" applyFill="1" applyFont="1">
      <alignment/>
    </xf>
    <xf borderId="0" fillId="3" fontId="3" numFmtId="0" xfId="0" applyAlignment="1" applyBorder="1" applyFont="1">
      <alignment/>
    </xf>
    <xf borderId="0" fillId="2" fontId="3" numFmtId="0" xfId="0" applyAlignment="1" applyBorder="1" applyFont="1">
      <alignment/>
    </xf>
    <xf borderId="0" fillId="5" fontId="5" numFmtId="0" xfId="0" applyAlignment="1" applyBorder="1" applyFill="1" applyFont="1">
      <alignment/>
    </xf>
    <xf borderId="0" fillId="6" fontId="2" numFmtId="0" xfId="0" applyAlignment="1" applyBorder="1" applyFill="1" applyFont="1">
      <alignment/>
    </xf>
    <xf borderId="0" fillId="0" fontId="2" numFmtId="0" xfId="0" applyAlignment="1" applyFont="1">
      <alignment horizontal="right"/>
    </xf>
    <xf borderId="0" fillId="0" fontId="4" numFmtId="0" xfId="0" applyAlignment="1" applyFont="1">
      <alignment/>
    </xf>
    <xf borderId="0" fillId="5" fontId="6" numFmtId="0" xfId="0" applyAlignment="1" applyFont="1">
      <alignment/>
    </xf>
    <xf borderId="0" fillId="6" fontId="2" numFmtId="0" xfId="0" applyAlignment="1" applyBorder="1" applyFont="1">
      <alignment/>
    </xf>
    <xf borderId="0" fillId="0" fontId="3" numFmtId="0" xfId="0" applyAlignment="1" applyFont="1">
      <alignment horizontal="right"/>
    </xf>
    <xf borderId="0" fillId="0" fontId="7" numFmtId="0" xfId="0" applyAlignment="1" applyFont="1">
      <alignment horizontal="center"/>
    </xf>
    <xf borderId="0" fillId="7" fontId="2" numFmtId="0" xfId="0" applyAlignment="1" applyBorder="1" applyFill="1" applyFont="1">
      <alignment/>
    </xf>
    <xf borderId="0" fillId="7" fontId="3" numFmtId="0" xfId="0" applyAlignment="1" applyFont="1">
      <alignment horizontal="right"/>
    </xf>
    <xf borderId="0" fillId="0" fontId="8" numFmtId="0" xfId="0" applyAlignment="1" applyFont="1">
      <alignment/>
    </xf>
    <xf borderId="1" fillId="0" fontId="3" numFmtId="0" xfId="0" applyAlignment="1" applyBorder="1" applyFont="1">
      <alignment/>
    </xf>
    <xf borderId="2" fillId="0" fontId="2" numFmtId="0" xfId="0" applyAlignment="1" applyBorder="1" applyFont="1">
      <alignment/>
    </xf>
    <xf borderId="3" fillId="0" fontId="2" numFmtId="0" xfId="0" applyAlignment="1" applyBorder="1" applyFont="1">
      <alignment/>
    </xf>
    <xf borderId="3" fillId="0" fontId="3" numFmtId="0" xfId="0" applyAlignment="1" applyBorder="1" applyFont="1">
      <alignment/>
    </xf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4" fontId="9" numFmtId="0" xfId="0" applyAlignment="1" applyFont="1">
      <alignment horizontal="right"/>
    </xf>
    <xf borderId="0" fillId="0" fontId="10" numFmtId="0" xfId="0" applyAlignment="1" applyFont="1">
      <alignment/>
    </xf>
    <xf borderId="0" fillId="7" fontId="3" numFmtId="0" xfId="0" applyAlignment="1" applyFont="1">
      <alignment/>
    </xf>
    <xf borderId="0" fillId="7" fontId="3" numFmtId="0" xfId="0" applyAlignment="1" applyFont="1">
      <alignment/>
    </xf>
    <xf borderId="2" fillId="8" fontId="2" numFmtId="0" xfId="0" applyAlignment="1" applyBorder="1" applyFill="1" applyFont="1">
      <alignment/>
    </xf>
    <xf borderId="2" fillId="8" fontId="3" numFmtId="0" xfId="0" applyAlignment="1" applyBorder="1" applyFont="1">
      <alignment horizontal="right"/>
    </xf>
    <xf borderId="2" fillId="0" fontId="3" numFmtId="0" xfId="0" applyAlignment="1" applyBorder="1" applyFont="1">
      <alignment/>
    </xf>
    <xf borderId="1" fillId="0" fontId="3" numFmtId="0" xfId="0" applyAlignment="1" applyBorder="1" applyFont="1">
      <alignment/>
    </xf>
    <xf borderId="2" fillId="0" fontId="2" numFmtId="0" xfId="0" applyAlignment="1" applyBorder="1" applyFont="1">
      <alignment/>
    </xf>
    <xf borderId="4" fillId="0" fontId="2" numFmtId="0" xfId="0" applyAlignment="1" applyBorder="1" applyFont="1">
      <alignment/>
    </xf>
    <xf borderId="0" fillId="0" fontId="3" numFmtId="0" xfId="0" applyAlignment="1" applyFont="1">
      <alignment horizontal="right"/>
    </xf>
    <xf borderId="0" fillId="0" fontId="3" numFmtId="0" xfId="0" applyAlignment="1" applyFont="1">
      <alignment/>
    </xf>
    <xf borderId="0" fillId="4" fontId="6" numFmtId="0" xfId="0" applyFont="1"/>
    <xf borderId="0" fillId="4" fontId="6" numFmtId="0" xfId="0" applyAlignment="1" applyFont="1">
      <alignment/>
    </xf>
    <xf borderId="0" fillId="0" fontId="6" numFmtId="0" xfId="0" applyAlignment="1" applyFont="1">
      <alignment horizontal="right"/>
    </xf>
    <xf borderId="0" fillId="7" fontId="2" numFmtId="0" xfId="0" applyAlignment="1" applyFont="1">
      <alignment/>
    </xf>
    <xf borderId="0" fillId="0" fontId="2" numFmtId="0" xfId="0" applyAlignment="1" applyFont="1">
      <alignment horizontal="right"/>
    </xf>
    <xf borderId="2" fillId="4" fontId="6" numFmtId="0" xfId="0" applyAlignment="1" applyBorder="1" applyFont="1">
      <alignment/>
    </xf>
    <xf borderId="2" fillId="0" fontId="3" numFmtId="0" xfId="0" applyAlignment="1" applyBorder="1" applyFont="1">
      <alignment horizontal="right"/>
    </xf>
    <xf borderId="0" fillId="7" fontId="4" numFmtId="0" xfId="0" applyAlignment="1" applyFont="1">
      <alignment/>
    </xf>
    <xf borderId="0" fillId="7" fontId="4" numFmtId="0" xfId="0" applyFont="1"/>
    <xf borderId="2" fillId="7" fontId="3" numFmtId="0" xfId="0" applyAlignment="1" applyBorder="1" applyFont="1">
      <alignment/>
    </xf>
    <xf borderId="2" fillId="7" fontId="3" numFmtId="0" xfId="0" applyAlignment="1" applyBorder="1" applyFont="1">
      <alignment/>
    </xf>
    <xf borderId="2" fillId="9" fontId="2" numFmtId="0" xfId="0" applyAlignment="1" applyBorder="1" applyFill="1" applyFont="1">
      <alignment/>
    </xf>
    <xf borderId="2" fillId="9" fontId="3" numFmtId="0" xfId="0" applyAlignment="1" applyBorder="1" applyFont="1">
      <alignment horizontal="right"/>
    </xf>
    <xf borderId="0" fillId="4" fontId="2" numFmtId="0" xfId="0" applyAlignment="1" applyFont="1">
      <alignment horizontal="left"/>
    </xf>
    <xf borderId="0" fillId="4" fontId="3" numFmtId="0" xfId="0" applyAlignment="1" applyFont="1">
      <alignment/>
    </xf>
    <xf borderId="5" fillId="0" fontId="2" numFmtId="0" xfId="0" applyAlignment="1" applyBorder="1" applyFont="1">
      <alignment/>
    </xf>
    <xf borderId="0" fillId="4" fontId="6" numFmtId="0" xfId="0" applyAlignment="1" applyFont="1">
      <alignment horizontal="right"/>
    </xf>
    <xf borderId="0" fillId="8" fontId="2" numFmtId="0" xfId="0" applyAlignment="1" applyFont="1">
      <alignment/>
    </xf>
    <xf borderId="0" fillId="8" fontId="3" numFmtId="0" xfId="0" applyAlignment="1" applyFont="1">
      <alignment horizontal="right"/>
    </xf>
    <xf borderId="0" fillId="10" fontId="2" numFmtId="0" xfId="0" applyAlignment="1" applyFill="1" applyFont="1">
      <alignment/>
    </xf>
    <xf borderId="0" fillId="5" fontId="3" numFmtId="0" xfId="0" applyAlignment="1" applyFont="1">
      <alignment/>
    </xf>
    <xf borderId="0" fillId="5" fontId="3" numFmtId="0" xfId="0" applyAlignment="1" applyFont="1">
      <alignment horizontal="right"/>
    </xf>
    <xf borderId="0" fillId="8" fontId="3" numFmtId="0" xfId="0" applyAlignment="1" applyFont="1">
      <alignment/>
    </xf>
    <xf borderId="0" fillId="0" fontId="2" numFmtId="0" xfId="0" applyAlignment="1" applyBorder="1" applyFont="1">
      <alignment horizontal="right"/>
    </xf>
    <xf borderId="0" fillId="0" fontId="2" numFmtId="0" xfId="0" applyAlignment="1" applyBorder="1" applyFont="1">
      <alignment/>
    </xf>
    <xf borderId="0" fillId="2" fontId="2" numFmtId="0" xfId="0" applyAlignment="1" applyBorder="1" applyFont="1">
      <alignment horizontal="right"/>
    </xf>
    <xf borderId="0" fillId="2" fontId="3" numFmtId="0" xfId="0" applyAlignment="1" applyBorder="1" applyFont="1">
      <alignment/>
    </xf>
    <xf borderId="0" fillId="6" fontId="9" numFmtId="0" xfId="0" applyAlignment="1" applyFont="1">
      <alignment horizontal="right"/>
    </xf>
    <xf borderId="0" fillId="6" fontId="2" numFmtId="0" xfId="0" applyAlignment="1" applyBorder="1" applyFont="1">
      <alignment horizontal="right"/>
    </xf>
    <xf borderId="0" fillId="7" fontId="2" numFmtId="0" xfId="0" applyAlignment="1" applyBorder="1" applyFont="1">
      <alignment horizontal="right"/>
    </xf>
    <xf borderId="0" fillId="0" fontId="11" numFmtId="0" xfId="0" applyAlignment="1" applyFont="1">
      <alignment horizontal="right"/>
    </xf>
    <xf borderId="1" fillId="0" fontId="3" numFmtId="0" xfId="0" applyAlignment="1" applyBorder="1" applyFont="1">
      <alignment horizontal="right"/>
    </xf>
    <xf borderId="2" fillId="7" fontId="2" numFmtId="0" xfId="0" applyAlignment="1" applyBorder="1" applyFont="1">
      <alignment/>
    </xf>
    <xf borderId="2" fillId="7" fontId="3" numFmtId="0" xfId="0" applyAlignment="1" applyBorder="1" applyFont="1">
      <alignment horizontal="right"/>
    </xf>
    <xf borderId="0" fillId="11" fontId="12" numFmtId="0" xfId="0" applyAlignment="1" applyFill="1" applyFont="1">
      <alignment horizontal="left"/>
    </xf>
    <xf borderId="0" fillId="12" fontId="13" numFmtId="0" xfId="0" applyAlignment="1" applyFill="1" applyFont="1">
      <alignment horizontal="right"/>
    </xf>
    <xf borderId="0" fillId="13" fontId="4" numFmtId="0" xfId="0" applyAlignment="1" applyFill="1" applyFont="1">
      <alignment/>
    </xf>
    <xf borderId="0" fillId="13" fontId="4" numFmtId="0" xfId="0" applyFont="1"/>
    <xf borderId="0" fillId="0" fontId="14" numFmtId="0" xfId="0" applyAlignment="1" applyFont="1">
      <alignment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/>
    </xf>
    <xf borderId="0" fillId="0" fontId="14" numFmtId="0" xfId="0" applyAlignment="1" applyFont="1">
      <alignment horizontal="right"/>
    </xf>
    <xf borderId="0" fillId="0" fontId="16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10" fontId="3" numFmtId="0" xfId="0" applyAlignment="1" applyFont="1">
      <alignment/>
    </xf>
    <xf borderId="0" fillId="0" fontId="14" numFmtId="0" xfId="0" applyAlignment="1" applyFont="1">
      <alignment horizontal="right"/>
    </xf>
    <xf borderId="0" fillId="7" fontId="15" numFmtId="0" xfId="0" applyAlignment="1" applyFont="1">
      <alignment horizontal="right"/>
    </xf>
    <xf borderId="0" fillId="14" fontId="3" numFmtId="0" xfId="0" applyAlignment="1" applyFill="1" applyFont="1">
      <alignment/>
    </xf>
    <xf borderId="0" fillId="14" fontId="2" numFmtId="0" xfId="0" applyAlignment="1" applyFont="1">
      <alignment/>
    </xf>
    <xf borderId="0" fillId="13" fontId="5" numFmtId="0" xfId="0" applyAlignment="1" applyFont="1">
      <alignment/>
    </xf>
    <xf borderId="0" fillId="13" fontId="3" numFmtId="0" xfId="0" applyAlignment="1" applyFont="1">
      <alignment/>
    </xf>
    <xf borderId="0" fillId="4" fontId="17" numFmtId="0" xfId="0" applyAlignment="1" applyFont="1">
      <alignment/>
    </xf>
    <xf borderId="0" fillId="0" fontId="15" numFmtId="0" xfId="0" applyAlignment="1" applyFont="1">
      <alignment/>
    </xf>
    <xf borderId="0" fillId="4" fontId="18" numFmtId="0" xfId="0" applyAlignment="1" applyFont="1">
      <alignment horizontal="right"/>
    </xf>
    <xf borderId="0" fillId="13" fontId="3" numFmtId="0" xfId="0" applyAlignment="1" applyFont="1">
      <alignment/>
    </xf>
    <xf borderId="3" fillId="0" fontId="2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ksteel.com/pdf/markets_products/stainless/austenitic/304_304l_data_sheet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</row>
    <row r="2">
      <c r="A2" s="5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6" t="s">
        <v>25</v>
      </c>
      <c r="AA2" s="8"/>
      <c r="AC2" s="9"/>
      <c r="AD2" s="10"/>
      <c r="AE2" s="10"/>
      <c r="AF2" s="10"/>
    </row>
    <row r="3">
      <c r="A3" s="11" t="s">
        <v>26</v>
      </c>
      <c r="B3" s="12" t="s">
        <v>27</v>
      </c>
      <c r="C3" s="13">
        <f>273.16+14</f>
        <v>287.16</v>
      </c>
      <c r="D3" s="13">
        <f>273.16+90.39329338
</f>
        <v>363.5532934</v>
      </c>
      <c r="E3" s="13">
        <f>273.16+119.3861141
</f>
        <v>392.5461141</v>
      </c>
      <c r="F3" s="13">
        <f>273.16+288.3403125
</f>
        <v>561.5003125</v>
      </c>
      <c r="G3" s="13">
        <f>273.16+367.7901488
</f>
        <v>640.9501488</v>
      </c>
      <c r="H3" s="13">
        <f>273.16+917.4654471
</f>
        <v>1190.625447</v>
      </c>
      <c r="I3" s="13">
        <f>273.16+413.9235896
</f>
        <v>687.0835896</v>
      </c>
      <c r="J3" s="13">
        <f>273.16+392.8260334
</f>
        <v>665.9860334</v>
      </c>
      <c r="K3" s="13">
        <f>273.16+283.9245587
</f>
        <v>557.0845587</v>
      </c>
      <c r="L3" s="13">
        <f>273.16+211.0527948
</f>
        <v>484.2127948</v>
      </c>
      <c r="M3" s="13">
        <f>273.16+6.203910521
</f>
        <v>279.3639105</v>
      </c>
      <c r="N3" s="13">
        <f>273.16+180.006954
</f>
        <v>453.166954</v>
      </c>
      <c r="O3" s="13">
        <f>273.16+341.4759253
</f>
        <v>614.6359253</v>
      </c>
      <c r="P3" s="13">
        <f>273.16+247.004706
</f>
        <v>520.164706</v>
      </c>
      <c r="Q3" s="13">
        <f>273.16+73.00211411
</f>
        <v>346.1621141</v>
      </c>
      <c r="R3" s="13">
        <f>273.16+85.28919342
</f>
        <v>358.4491934</v>
      </c>
      <c r="S3" s="13">
        <f>273.16+86.87373794
</f>
        <v>360.0337379</v>
      </c>
      <c r="T3" s="13">
        <f>273.16+87.0237503
</f>
        <v>360.1837503</v>
      </c>
      <c r="U3" s="13">
        <f>273.16+87.30594032
</f>
        <v>360.4659403</v>
      </c>
      <c r="V3" s="13">
        <f>273.16+34.67052899
</f>
        <v>307.830529</v>
      </c>
      <c r="W3" s="13">
        <f>273.16+299.9283002
</f>
        <v>573.0883002</v>
      </c>
      <c r="X3" s="14">
        <v>1033.0</v>
      </c>
      <c r="Y3" s="4"/>
    </row>
    <row r="4">
      <c r="A4" s="15">
        <f>(556.8/509.7)*8.26876804</f>
        <v>9.032862556</v>
      </c>
      <c r="B4" s="12" t="s">
        <v>28</v>
      </c>
      <c r="C4" s="13">
        <f>273.16+90.39329338
</f>
        <v>363.5532934</v>
      </c>
      <c r="D4" s="13">
        <f>273.16+119.3861141
</f>
        <v>392.5461141</v>
      </c>
      <c r="E4" s="13">
        <f>273.16+153.1604297
</f>
        <v>426.3204297</v>
      </c>
      <c r="F4" s="13">
        <f>273.16+367.7901488
</f>
        <v>640.9501488</v>
      </c>
      <c r="G4" s="13">
        <f>273.16+520.8718079
</f>
        <v>794.0318079</v>
      </c>
      <c r="H4" s="13">
        <f>273.16+413.9235896
</f>
        <v>687.0835896</v>
      </c>
      <c r="I4" s="13">
        <f>273.16+337.8769655
</f>
        <v>611.0369655</v>
      </c>
      <c r="J4" s="13">
        <f>273.16+283.9245587
</f>
        <v>557.0845587</v>
      </c>
      <c r="K4" s="13">
        <f>273.16+202.9317479
</f>
        <v>476.0917479</v>
      </c>
      <c r="L4" s="13">
        <f>273.16+35.99328264
</f>
        <v>309.1532826</v>
      </c>
      <c r="M4" s="13">
        <f>273.16+180.006954
</f>
        <v>453.166954</v>
      </c>
      <c r="N4" s="13">
        <f>273.16+314.0070884
</f>
        <v>587.1670884</v>
      </c>
      <c r="O4" s="13">
        <f>273.16+247.004706
</f>
        <v>520.164706</v>
      </c>
      <c r="P4" s="13">
        <f>273.16+73.00211411
</f>
        <v>346.1621141</v>
      </c>
      <c r="Q4" s="13">
        <f>273.16+13.99606377
</f>
        <v>287.1560638</v>
      </c>
      <c r="R4" s="13">
        <f t="shared" ref="R4:U4" si="1">273.16+15
</f>
        <v>288.16</v>
      </c>
      <c r="S4" s="13">
        <f t="shared" si="1"/>
        <v>288.16</v>
      </c>
      <c r="T4" s="13">
        <f t="shared" si="1"/>
        <v>288.16</v>
      </c>
      <c r="U4" s="13">
        <f t="shared" si="1"/>
        <v>288.16</v>
      </c>
      <c r="V4" s="13">
        <f>273.16+199.9999785
</f>
        <v>473.1599785</v>
      </c>
      <c r="W4" s="13">
        <f>273.16+5.016925177
</f>
        <v>278.1769252</v>
      </c>
      <c r="X4" s="14">
        <v>493.0</v>
      </c>
      <c r="Y4" s="4"/>
    </row>
    <row r="5">
      <c r="A5" s="5"/>
      <c r="B5" s="12" t="s">
        <v>29</v>
      </c>
      <c r="C5" s="13">
        <f t="shared" ref="C5:X5" si="2">1-278.16/((C4-C3)/ln(C4/C3))</f>
        <v>0.1411007016</v>
      </c>
      <c r="D5" s="13">
        <f t="shared" si="2"/>
        <v>0.2638627957</v>
      </c>
      <c r="E5" s="13">
        <f t="shared" si="2"/>
        <v>0.3202362571</v>
      </c>
      <c r="F5" s="13">
        <f t="shared" si="2"/>
        <v>0.5366697287</v>
      </c>
      <c r="G5" s="13">
        <f t="shared" si="2"/>
        <v>0.6108349049</v>
      </c>
      <c r="H5" s="13">
        <f t="shared" si="2"/>
        <v>0.6962987937</v>
      </c>
      <c r="I5" s="13">
        <f t="shared" si="2"/>
        <v>0.5709506979</v>
      </c>
      <c r="J5" s="13">
        <f t="shared" si="2"/>
        <v>0.543937032</v>
      </c>
      <c r="K5" s="13">
        <f t="shared" si="2"/>
        <v>0.4604369033</v>
      </c>
      <c r="L5" s="13">
        <f t="shared" si="2"/>
        <v>0.2870604677</v>
      </c>
      <c r="M5" s="13">
        <f t="shared" si="2"/>
        <v>0.2257983477</v>
      </c>
      <c r="N5" s="13">
        <f t="shared" si="2"/>
        <v>0.4622615902</v>
      </c>
      <c r="O5" s="13">
        <f t="shared" si="2"/>
        <v>0.5086268606</v>
      </c>
      <c r="P5" s="13">
        <f t="shared" si="2"/>
        <v>0.3489901246</v>
      </c>
      <c r="Q5" s="13">
        <f t="shared" si="2"/>
        <v>0.1190239216</v>
      </c>
      <c r="R5" s="13">
        <f t="shared" si="2"/>
        <v>0.1362217726</v>
      </c>
      <c r="S5" s="13">
        <f t="shared" si="2"/>
        <v>0.1381944428</v>
      </c>
      <c r="T5" s="13">
        <f t="shared" si="2"/>
        <v>0.1383805889</v>
      </c>
      <c r="U5" s="13">
        <f t="shared" si="2"/>
        <v>0.1387304652</v>
      </c>
      <c r="V5" s="13">
        <f t="shared" si="2"/>
        <v>0.2767375935</v>
      </c>
      <c r="W5" s="13">
        <f t="shared" si="2"/>
        <v>0.3182725731</v>
      </c>
      <c r="X5" s="13">
        <f t="shared" si="2"/>
        <v>0.6189654627</v>
      </c>
      <c r="Y5" s="4"/>
      <c r="AA5" s="13"/>
      <c r="AC5" s="13"/>
      <c r="AD5" s="13"/>
      <c r="AE5" s="13"/>
      <c r="AF5" s="13"/>
    </row>
    <row r="6">
      <c r="A6" s="5"/>
      <c r="B6" s="16" t="s">
        <v>30</v>
      </c>
      <c r="C6" s="13">
        <f>-4152746.484
*C5/3600</f>
        <v>-162.7654007</v>
      </c>
      <c r="D6" s="17">
        <f>-1682185.693
*D5/3600</f>
        <v>-123.2961722</v>
      </c>
      <c r="E6" s="17">
        <f>-1915053.593
*E5/3600</f>
        <v>-170.3526652</v>
      </c>
      <c r="F6" s="18">
        <f>-23058519.08
*F5/3600</f>
        <v>-3437.446994</v>
      </c>
      <c r="G6" s="18">
        <f>-46047847.69
*G5/3600</f>
        <v>-7813.231296</v>
      </c>
      <c r="H6" s="18">
        <f>199772284.1
*H5/3600</f>
        <v>38639.22235</v>
      </c>
      <c r="I6" s="18">
        <f>28457642.61
*I5/3600</f>
        <v>4513.308586</v>
      </c>
      <c r="J6" s="18">
        <f>40893309.16
*J5/3600</f>
        <v>6178.718115</v>
      </c>
      <c r="K6" s="18">
        <f>29925083.61
*K5/3600</f>
        <v>3827.392453</v>
      </c>
      <c r="L6" s="18">
        <f>235213896
*L5/3600</f>
        <v>18755.72528</v>
      </c>
      <c r="M6" s="18">
        <f>-28141184.22
*M5/3600</f>
        <v>-1765.064694</v>
      </c>
      <c r="N6" s="18">
        <f>-22003597.05
*N5/3600</f>
        <v>-2825.393823</v>
      </c>
      <c r="O6" s="18">
        <f>15519415.71
*O5/3600</f>
        <v>2192.664359</v>
      </c>
      <c r="P6" s="18">
        <f>28146270.11
*P5/3600</f>
        <v>2728.547309</v>
      </c>
      <c r="Q6" s="18">
        <f>11202351.62
*Q5/3600</f>
        <v>370.3743946</v>
      </c>
      <c r="R6" s="18">
        <f>11312374.68
*R5/3600</f>
        <v>428.0532585</v>
      </c>
      <c r="S6" s="18">
        <f>11655598.13
*S5/3600</f>
        <v>447.4274693</v>
      </c>
      <c r="T6" s="18">
        <f>11841144.46
*T5/3600</f>
        <v>455.1623732</v>
      </c>
      <c r="U6" s="18">
        <f>12135638.6180713*U5/3600</f>
        <v>467.6618863</v>
      </c>
      <c r="V6" s="18">
        <f>-41684564.78
*V5/3600</f>
        <v>-3204.357262</v>
      </c>
      <c r="W6" s="18">
        <f>112532391.3
*W5/3600</f>
        <v>9948.881592</v>
      </c>
      <c r="X6" s="18">
        <f>F124*X5</f>
        <v>12716.77948</v>
      </c>
      <c r="Y6" s="4"/>
      <c r="AA6" s="18"/>
      <c r="AC6" s="18"/>
      <c r="AD6" s="18"/>
      <c r="AE6" s="18"/>
      <c r="AF6" s="18"/>
    </row>
    <row r="7">
      <c r="A7" s="5"/>
      <c r="B7" s="12" t="s">
        <v>31</v>
      </c>
      <c r="C7" s="13">
        <f t="shared" ref="C7:X7" si="3">C6*0.6</f>
        <v>-97.65924042</v>
      </c>
      <c r="D7" s="13">
        <f t="shared" si="3"/>
        <v>-73.9777033</v>
      </c>
      <c r="E7" s="13">
        <f t="shared" si="3"/>
        <v>-102.2115991</v>
      </c>
      <c r="F7" s="13">
        <f t="shared" si="3"/>
        <v>-2062.468197</v>
      </c>
      <c r="G7" s="13">
        <f t="shared" si="3"/>
        <v>-4687.938778</v>
      </c>
      <c r="H7" s="13">
        <f t="shared" si="3"/>
        <v>23183.53341</v>
      </c>
      <c r="I7" s="13">
        <f t="shared" si="3"/>
        <v>2707.985152</v>
      </c>
      <c r="J7" s="13">
        <f t="shared" si="3"/>
        <v>3707.230869</v>
      </c>
      <c r="K7" s="13">
        <f t="shared" si="3"/>
        <v>2296.435472</v>
      </c>
      <c r="L7" s="13">
        <f t="shared" si="3"/>
        <v>11253.43517</v>
      </c>
      <c r="M7" s="13">
        <f t="shared" si="3"/>
        <v>-1059.038817</v>
      </c>
      <c r="N7" s="13">
        <f t="shared" si="3"/>
        <v>-1695.236294</v>
      </c>
      <c r="O7" s="13">
        <f t="shared" si="3"/>
        <v>1315.598615</v>
      </c>
      <c r="P7" s="13">
        <f t="shared" si="3"/>
        <v>1637.128385</v>
      </c>
      <c r="Q7" s="13">
        <f t="shared" si="3"/>
        <v>222.2246367</v>
      </c>
      <c r="R7" s="13">
        <f t="shared" si="3"/>
        <v>256.8319551</v>
      </c>
      <c r="S7" s="13">
        <f t="shared" si="3"/>
        <v>268.4564816</v>
      </c>
      <c r="T7" s="13">
        <f t="shared" si="3"/>
        <v>273.0974239</v>
      </c>
      <c r="U7" s="13">
        <f t="shared" si="3"/>
        <v>280.5971318</v>
      </c>
      <c r="V7" s="13">
        <f t="shared" si="3"/>
        <v>-1922.614357</v>
      </c>
      <c r="W7" s="13">
        <f t="shared" si="3"/>
        <v>5969.328955</v>
      </c>
      <c r="X7" s="13">
        <f t="shared" si="3"/>
        <v>7630.067687</v>
      </c>
      <c r="Y7" s="4"/>
      <c r="AA7" s="13"/>
      <c r="AC7" s="13"/>
      <c r="AD7" s="13"/>
      <c r="AE7" s="13"/>
      <c r="AF7" s="13"/>
    </row>
    <row r="8">
      <c r="A8" s="5"/>
      <c r="B8" s="19" t="s">
        <v>32</v>
      </c>
      <c r="C8" s="13">
        <f t="shared" ref="C8:X8" si="4">C7*0.3</f>
        <v>-29.29777213</v>
      </c>
      <c r="D8" s="13">
        <f t="shared" si="4"/>
        <v>-22.19331099</v>
      </c>
      <c r="E8" s="13">
        <f t="shared" si="4"/>
        <v>-30.66347974</v>
      </c>
      <c r="F8" s="13">
        <f t="shared" si="4"/>
        <v>-618.740459</v>
      </c>
      <c r="G8" s="13">
        <f t="shared" si="4"/>
        <v>-1406.381633</v>
      </c>
      <c r="H8" s="13">
        <f t="shared" si="4"/>
        <v>6955.060022</v>
      </c>
      <c r="I8" s="13">
        <f t="shared" si="4"/>
        <v>812.3955455</v>
      </c>
      <c r="J8" s="13">
        <f t="shared" si="4"/>
        <v>1112.169261</v>
      </c>
      <c r="K8" s="13">
        <f t="shared" si="4"/>
        <v>688.9306415</v>
      </c>
      <c r="L8" s="13">
        <f t="shared" si="4"/>
        <v>3376.03055</v>
      </c>
      <c r="M8" s="13">
        <f t="shared" si="4"/>
        <v>-317.711645</v>
      </c>
      <c r="N8" s="13">
        <f t="shared" si="4"/>
        <v>-508.5708881</v>
      </c>
      <c r="O8" s="13">
        <f t="shared" si="4"/>
        <v>394.6795845</v>
      </c>
      <c r="P8" s="13">
        <f t="shared" si="4"/>
        <v>491.1385156</v>
      </c>
      <c r="Q8" s="13">
        <f t="shared" si="4"/>
        <v>66.66739102</v>
      </c>
      <c r="R8" s="13">
        <f t="shared" si="4"/>
        <v>77.04958654</v>
      </c>
      <c r="S8" s="13">
        <f t="shared" si="4"/>
        <v>80.53694448</v>
      </c>
      <c r="T8" s="13">
        <f t="shared" si="4"/>
        <v>81.92922717</v>
      </c>
      <c r="U8" s="13">
        <f t="shared" si="4"/>
        <v>84.17913954</v>
      </c>
      <c r="V8" s="13">
        <f t="shared" si="4"/>
        <v>-576.7843072</v>
      </c>
      <c r="W8" s="13">
        <f t="shared" si="4"/>
        <v>1790.798687</v>
      </c>
      <c r="X8" s="13">
        <f t="shared" si="4"/>
        <v>2289.020306</v>
      </c>
      <c r="Y8" s="20">
        <f>SUM(C8:X8)</f>
        <v>14790.24191</v>
      </c>
      <c r="AA8" s="13"/>
      <c r="AC8" s="13"/>
      <c r="AD8" s="13"/>
      <c r="AE8" s="13"/>
      <c r="AF8" s="13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>
      <c r="A10" s="21" t="s">
        <v>33</v>
      </c>
      <c r="B10" s="22"/>
      <c r="C10" s="23" t="s">
        <v>34</v>
      </c>
      <c r="D10" s="24" t="s">
        <v>35</v>
      </c>
      <c r="E10" s="23" t="s">
        <v>36</v>
      </c>
      <c r="F10" s="23" t="s">
        <v>37</v>
      </c>
      <c r="G10" s="23" t="s">
        <v>38</v>
      </c>
      <c r="H10" s="23" t="s">
        <v>39</v>
      </c>
      <c r="I10" s="23" t="s">
        <v>40</v>
      </c>
      <c r="J10" s="24" t="s">
        <v>41</v>
      </c>
      <c r="K10" s="25" t="s">
        <v>42</v>
      </c>
      <c r="L10" s="23" t="s">
        <v>43</v>
      </c>
      <c r="M10" s="24"/>
      <c r="N10" s="2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26"/>
      <c r="AD10" s="4"/>
      <c r="AE10" s="4"/>
      <c r="AF10" s="4"/>
      <c r="AG10" s="4"/>
    </row>
    <row r="11">
      <c r="A11" s="27" t="s">
        <v>44</v>
      </c>
      <c r="B11" s="4"/>
      <c r="C11" s="18">
        <f>4152328.744
/3600</f>
        <v>1153.424651</v>
      </c>
      <c r="D11" s="18">
        <f>5289288.16
/3600</f>
        <v>1469.246711</v>
      </c>
      <c r="E11" s="18">
        <f>6736348.46
/3600</f>
        <v>1871.207906</v>
      </c>
      <c r="F11" s="18">
        <f>17540193.88
/3600</f>
        <v>4872.276078</v>
      </c>
      <c r="G11" s="18">
        <f>11426228.2
/3600</f>
        <v>3173.952278</v>
      </c>
      <c r="H11" s="18">
        <f>11670352.07
/3600</f>
        <v>3241.764464</v>
      </c>
      <c r="I11" s="18">
        <f>11975351.61
/3600</f>
        <v>3326.486558</v>
      </c>
      <c r="J11" s="18">
        <f>12544886.61
/3600</f>
        <v>3484.690725</v>
      </c>
      <c r="K11" s="28">
        <f>455374.4328
/3600</f>
        <v>126.492898</v>
      </c>
      <c r="L11" s="18">
        <f>5759218.204
/3600</f>
        <v>1599.782834</v>
      </c>
      <c r="M11" s="18"/>
      <c r="N11" s="18"/>
      <c r="P11" s="23"/>
      <c r="Q11" s="23"/>
      <c r="R11" s="4"/>
      <c r="S11" s="4"/>
      <c r="T11" s="4"/>
      <c r="U11" s="4"/>
      <c r="V11" s="4"/>
      <c r="W11" s="4"/>
      <c r="X11" s="27" t="s">
        <v>45</v>
      </c>
      <c r="Y11" s="4"/>
      <c r="Z11" s="4"/>
      <c r="AA11" s="4"/>
      <c r="AB11" s="4"/>
      <c r="AC11" s="4"/>
      <c r="AD11" s="4"/>
      <c r="AE11" s="4"/>
      <c r="AF11" s="4"/>
      <c r="AG11" s="4"/>
    </row>
    <row r="12">
      <c r="A12" s="27" t="s">
        <v>46</v>
      </c>
      <c r="B12" s="13">
        <v>490000.0</v>
      </c>
      <c r="C12" s="4"/>
      <c r="D12" s="4"/>
      <c r="E12" s="4"/>
      <c r="F12" s="4"/>
      <c r="G12" s="4"/>
      <c r="H12" s="4"/>
      <c r="I12" s="4"/>
      <c r="J12" s="4"/>
      <c r="K12" s="4"/>
      <c r="P12" s="18"/>
      <c r="R12" s="4"/>
      <c r="S12" s="4"/>
      <c r="T12" s="4"/>
      <c r="U12" s="4"/>
      <c r="V12" s="4"/>
      <c r="W12" s="4"/>
      <c r="X12" s="27" t="s">
        <v>47</v>
      </c>
      <c r="Y12" s="27" t="s">
        <v>48</v>
      </c>
      <c r="Z12" s="4"/>
      <c r="AA12" s="4"/>
      <c r="AB12" s="4"/>
      <c r="AC12" s="4"/>
      <c r="AD12" s="4"/>
      <c r="AE12" s="4"/>
      <c r="AF12" s="4"/>
      <c r="AG12" s="4"/>
    </row>
    <row r="13">
      <c r="A13" s="27" t="s">
        <v>49</v>
      </c>
      <c r="B13" s="13">
        <v>16800.0</v>
      </c>
      <c r="C13" s="4"/>
      <c r="D13" s="4"/>
      <c r="E13" s="4"/>
      <c r="F13" s="4"/>
      <c r="G13" s="4"/>
      <c r="H13" s="4"/>
      <c r="I13" s="4"/>
      <c r="J13" s="4"/>
      <c r="K13" s="4"/>
      <c r="Q13" s="4"/>
      <c r="R13" s="4"/>
      <c r="S13" s="4"/>
      <c r="T13" s="4"/>
      <c r="U13" s="4"/>
      <c r="V13" s="4"/>
      <c r="W13" s="4"/>
      <c r="X13" s="27" t="s">
        <v>50</v>
      </c>
      <c r="Y13" s="27" t="s">
        <v>51</v>
      </c>
      <c r="Z13" s="4"/>
      <c r="AA13" s="4"/>
      <c r="AB13" s="4"/>
      <c r="AC13" s="4"/>
      <c r="AD13" s="4"/>
      <c r="AE13" s="4"/>
      <c r="AF13" s="4"/>
      <c r="AG13" s="4"/>
    </row>
    <row r="14">
      <c r="A14" s="27" t="s">
        <v>52</v>
      </c>
      <c r="B14" s="13">
        <v>0.6</v>
      </c>
      <c r="E14" s="4"/>
      <c r="F14" s="4"/>
      <c r="G14" s="4"/>
      <c r="H14" s="4"/>
      <c r="I14" s="4"/>
      <c r="J14" s="4"/>
      <c r="K14" s="4"/>
      <c r="L14" s="4"/>
      <c r="M14" s="4"/>
      <c r="N14" s="4"/>
      <c r="Q14" s="4"/>
      <c r="R14" s="4"/>
      <c r="S14" s="4"/>
      <c r="T14" s="4"/>
      <c r="U14" s="4"/>
      <c r="V14" s="4"/>
      <c r="W14" s="4"/>
      <c r="X14" s="27" t="s">
        <v>53</v>
      </c>
      <c r="Y14" s="29" t="s">
        <v>54</v>
      </c>
      <c r="Z14" s="4"/>
      <c r="AA14" s="4"/>
      <c r="AB14" s="4"/>
      <c r="AC14" s="4"/>
      <c r="AD14" s="4"/>
      <c r="AE14" s="4"/>
      <c r="AF14" s="4"/>
      <c r="AG14" s="4"/>
    </row>
    <row r="15">
      <c r="A15" s="27" t="s">
        <v>55</v>
      </c>
      <c r="B15" s="4"/>
      <c r="C15" s="17">
        <f t="shared" ref="C15:L15" si="5">$B12+$B13*(C11)^$B14</f>
        <v>1644789.481</v>
      </c>
      <c r="D15" s="17">
        <f t="shared" si="5"/>
        <v>1825260.857</v>
      </c>
      <c r="E15" s="17">
        <f t="shared" si="5"/>
        <v>2033769.683</v>
      </c>
      <c r="F15" s="17">
        <f t="shared" si="5"/>
        <v>3231248.55</v>
      </c>
      <c r="G15" s="17">
        <f t="shared" si="5"/>
        <v>2609676.17</v>
      </c>
      <c r="H15" s="17">
        <f t="shared" si="5"/>
        <v>2636733.611</v>
      </c>
      <c r="I15" s="17">
        <f t="shared" si="5"/>
        <v>2670222.139</v>
      </c>
      <c r="J15" s="17">
        <f t="shared" si="5"/>
        <v>2731856.578</v>
      </c>
      <c r="K15" s="17">
        <f t="shared" si="5"/>
        <v>796583.6337</v>
      </c>
      <c r="L15" s="17">
        <f t="shared" si="5"/>
        <v>1895225.109</v>
      </c>
      <c r="M15" s="17">
        <f>SUM(C15:L15)</f>
        <v>22075365.81</v>
      </c>
      <c r="N15" s="17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>
      <c r="A16" s="30" t="s">
        <v>56</v>
      </c>
      <c r="B16" s="31">
        <f>D16*A4</f>
        <v>259224868.8</v>
      </c>
      <c r="C16" s="32" t="s">
        <v>57</v>
      </c>
      <c r="D16" s="33">
        <f>M15*B17</f>
        <v>28697975.56</v>
      </c>
      <c r="E16" s="4"/>
      <c r="F16" s="4"/>
      <c r="G16" s="4"/>
      <c r="H16" s="4"/>
      <c r="I16" s="4"/>
      <c r="J16" s="4"/>
      <c r="K16" s="4"/>
      <c r="L16" s="4"/>
      <c r="M16" s="4"/>
      <c r="N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>
      <c r="A17" s="27" t="s">
        <v>58</v>
      </c>
      <c r="B17" s="17">
        <v>1.3</v>
      </c>
      <c r="C17" s="34"/>
      <c r="D17" s="34"/>
      <c r="E17" s="34"/>
      <c r="F17" s="34"/>
      <c r="G17" s="34"/>
      <c r="H17" s="34"/>
      <c r="I17" s="3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>
      <c r="A18" s="21" t="s">
        <v>59</v>
      </c>
      <c r="B18" s="35" t="s">
        <v>60</v>
      </c>
      <c r="C18" s="23"/>
      <c r="D18" s="24" t="s">
        <v>61</v>
      </c>
      <c r="E18" s="23" t="s">
        <v>62</v>
      </c>
      <c r="F18" s="24" t="s">
        <v>63</v>
      </c>
      <c r="G18" s="23" t="s">
        <v>64</v>
      </c>
      <c r="H18" s="36" t="s">
        <v>65</v>
      </c>
      <c r="J18" s="4"/>
      <c r="K18" s="22"/>
      <c r="L18" s="37" t="s">
        <v>24</v>
      </c>
      <c r="M18" s="4" t="s">
        <v>66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>
      <c r="A19" s="4" t="s">
        <v>67</v>
      </c>
      <c r="B19" s="38">
        <v>0.45</v>
      </c>
      <c r="C19" s="4"/>
      <c r="D19" s="26">
        <v>5.0</v>
      </c>
      <c r="E19" s="26">
        <v>5.0</v>
      </c>
      <c r="F19" s="26">
        <v>5.0</v>
      </c>
      <c r="G19" s="26">
        <v>5.0</v>
      </c>
      <c r="H19" s="26">
        <v>33.0</v>
      </c>
      <c r="J19" s="4"/>
      <c r="K19" s="39" t="s">
        <v>68</v>
      </c>
      <c r="L19" s="13">
        <f>(3.14*L25)*((L23+L24*2)/2)^2</f>
        <v>0.3915405556</v>
      </c>
      <c r="M19" s="4"/>
      <c r="N19" s="4"/>
      <c r="O19" s="4"/>
      <c r="P19" s="4" t="s">
        <v>69</v>
      </c>
      <c r="Q19" s="17">
        <v>4.0</v>
      </c>
      <c r="R19" s="4" t="s">
        <v>70</v>
      </c>
      <c r="S19" s="17">
        <f>Q21*360</f>
        <v>240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>
      <c r="A20" s="14" t="s">
        <v>71</v>
      </c>
      <c r="C20" s="40"/>
      <c r="J20" s="4"/>
      <c r="K20" s="4" t="s">
        <v>72</v>
      </c>
      <c r="L20" s="13">
        <f>3.14*($L$23/2)^2*L25</f>
        <v>0.2450072222</v>
      </c>
      <c r="M20" s="4"/>
      <c r="N20" s="4"/>
      <c r="O20" s="4"/>
      <c r="P20" s="4" t="s">
        <v>73</v>
      </c>
      <c r="Q20" s="17">
        <v>6.0</v>
      </c>
      <c r="R20" s="4" t="s">
        <v>74</v>
      </c>
      <c r="S20" s="17">
        <v>40.0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>
      <c r="A21" s="14" t="s">
        <v>75</v>
      </c>
      <c r="J21" s="4"/>
      <c r="K21" s="4" t="s">
        <v>76</v>
      </c>
      <c r="L21" s="13">
        <f>L19-L20</f>
        <v>0.1465333333</v>
      </c>
      <c r="M21" s="4"/>
      <c r="N21" s="4"/>
      <c r="O21" s="4"/>
      <c r="P21" s="4" t="s">
        <v>77</v>
      </c>
      <c r="Q21" s="17">
        <f>Q19/Q20</f>
        <v>0.6666666667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>
      <c r="A22" s="4" t="s">
        <v>78</v>
      </c>
      <c r="B22" s="4"/>
      <c r="C22" s="17"/>
      <c r="D22" s="17">
        <f>31780/3600</f>
        <v>8.827777778</v>
      </c>
      <c r="E22" s="17">
        <f>21310/3600</f>
        <v>5.919444444</v>
      </c>
      <c r="F22" s="17">
        <f>17430/3600</f>
        <v>4.841666667</v>
      </c>
      <c r="G22" s="17">
        <f>12150/3600</f>
        <v>3.375</v>
      </c>
      <c r="H22" s="26">
        <f>1479/3600</f>
        <v>0.4108333333</v>
      </c>
      <c r="J22" s="4"/>
      <c r="K22" s="4" t="s">
        <v>79</v>
      </c>
      <c r="L22" s="13">
        <f>S19+S20</f>
        <v>280</v>
      </c>
      <c r="M22" s="4"/>
      <c r="N22" s="4"/>
      <c r="O22" s="4"/>
      <c r="P22" s="4" t="s">
        <v>80</v>
      </c>
      <c r="Q22" s="17">
        <f>Q21*0.16</f>
        <v>0.1066666667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>
      <c r="A23" s="27" t="s">
        <v>81</v>
      </c>
      <c r="B23" s="4"/>
      <c r="C23" s="38"/>
      <c r="D23" s="17">
        <f t="shared" ref="D23:H23" si="6">(D22*D19)/$B$19</f>
        <v>98.08641975</v>
      </c>
      <c r="E23" s="17">
        <f t="shared" si="6"/>
        <v>65.77160494</v>
      </c>
      <c r="F23" s="17">
        <f t="shared" si="6"/>
        <v>53.7962963</v>
      </c>
      <c r="G23" s="17">
        <f t="shared" si="6"/>
        <v>37.5</v>
      </c>
      <c r="H23" s="17">
        <f t="shared" si="6"/>
        <v>30.12777778</v>
      </c>
      <c r="J23" s="4"/>
      <c r="K23" s="4" t="s">
        <v>82</v>
      </c>
      <c r="L23" s="13">
        <f>Q22+Q24</f>
        <v>0.1766666667</v>
      </c>
      <c r="M23" s="4"/>
      <c r="N23" s="26" t="s">
        <v>83</v>
      </c>
      <c r="O23" s="4"/>
      <c r="P23" s="4" t="s">
        <v>84</v>
      </c>
      <c r="Q23" s="17">
        <f>Q21*0.02</f>
        <v>0.01333333333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>
      <c r="A24" s="27" t="s">
        <v>46</v>
      </c>
      <c r="B24" s="13">
        <v>53000.0</v>
      </c>
      <c r="C24" s="4"/>
      <c r="D24" s="4"/>
      <c r="E24" s="4"/>
      <c r="F24" s="4"/>
      <c r="G24" s="4"/>
      <c r="H24" s="4"/>
      <c r="J24" s="4"/>
      <c r="K24" s="4" t="s">
        <v>85</v>
      </c>
      <c r="L24" s="13">
        <f>Q25+Q23</f>
        <v>0.02333333333</v>
      </c>
      <c r="M24" s="4"/>
      <c r="N24" s="4">
        <f>16740/13480</f>
        <v>1.241839763</v>
      </c>
      <c r="O24" s="4"/>
      <c r="P24" s="4" t="s">
        <v>86</v>
      </c>
      <c r="Q24" s="17">
        <v>0.07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>
      <c r="A25" s="27" t="s">
        <v>49</v>
      </c>
      <c r="B25" s="13">
        <v>28000.0</v>
      </c>
      <c r="C25" s="4"/>
      <c r="D25" s="4"/>
      <c r="E25" s="4"/>
      <c r="F25" s="4"/>
      <c r="G25" s="4"/>
      <c r="H25" s="4"/>
      <c r="J25" s="4"/>
      <c r="K25" s="4" t="s">
        <v>87</v>
      </c>
      <c r="L25" s="13">
        <f>10</f>
        <v>10</v>
      </c>
      <c r="M25" s="4"/>
      <c r="N25" s="4"/>
      <c r="O25" s="4"/>
      <c r="P25" s="4" t="s">
        <v>88</v>
      </c>
      <c r="Q25" s="17">
        <v>0.01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>
      <c r="A26" s="27" t="s">
        <v>52</v>
      </c>
      <c r="B26" s="13">
        <v>0.8</v>
      </c>
      <c r="C26" s="4"/>
      <c r="D26" s="4"/>
      <c r="E26" s="4"/>
      <c r="F26" s="4"/>
      <c r="G26" s="4"/>
      <c r="H26" s="4"/>
      <c r="J26" s="4"/>
      <c r="K26" s="41" t="s">
        <v>89</v>
      </c>
      <c r="L26" s="17">
        <f>L21*L22*N24</f>
        <v>50.95185757</v>
      </c>
      <c r="M26" s="42">
        <f>$B$24+$B$25*(L26)^$B$26</f>
        <v>702959.1302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>
      <c r="A27" s="43" t="s">
        <v>55</v>
      </c>
      <c r="B27" s="4"/>
      <c r="C27" s="44"/>
      <c r="D27" s="13">
        <f t="shared" ref="D27:H27" si="7">$B$24+$B$25*(D23)^$B$26</f>
        <v>1150602.626</v>
      </c>
      <c r="E27" s="13">
        <f t="shared" si="7"/>
        <v>850239.4538</v>
      </c>
      <c r="F27" s="13">
        <f t="shared" si="7"/>
        <v>731828.2896</v>
      </c>
      <c r="G27" s="13">
        <f t="shared" si="7"/>
        <v>561607.8343</v>
      </c>
      <c r="H27" s="13">
        <f t="shared" si="7"/>
        <v>479905.4614</v>
      </c>
      <c r="K27" s="45" t="s">
        <v>90</v>
      </c>
      <c r="L27" s="46">
        <f>1.7/1.3</f>
        <v>1.307692308</v>
      </c>
      <c r="M27" s="33">
        <f>M26*L27</f>
        <v>919254.2472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>
      <c r="A28" s="47" t="s">
        <v>56</v>
      </c>
      <c r="B28" s="48">
        <f>A4*D28</f>
        <v>34091682.31</v>
      </c>
      <c r="C28" s="32" t="s">
        <v>91</v>
      </c>
      <c r="D28" s="33">
        <f>SUM(D27:H27)</f>
        <v>3774183.665</v>
      </c>
      <c r="E28" s="4"/>
      <c r="F28" s="4"/>
      <c r="G28" s="4"/>
      <c r="H28" s="4"/>
      <c r="I28" s="4"/>
      <c r="J28" s="34"/>
      <c r="K28" s="34"/>
      <c r="L28" s="49" t="s">
        <v>92</v>
      </c>
      <c r="M28" s="50">
        <f>M27*A4</f>
        <v>8303497.268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4"/>
      <c r="AA28" s="4"/>
      <c r="AB28" s="4"/>
      <c r="AC28" s="4"/>
      <c r="AD28" s="4"/>
      <c r="AE28" s="4"/>
      <c r="AF28" s="4"/>
      <c r="AG28" s="4"/>
    </row>
    <row r="29">
      <c r="A29" s="21" t="s">
        <v>93</v>
      </c>
      <c r="B29" s="22"/>
      <c r="C29" s="23" t="s">
        <v>3</v>
      </c>
      <c r="D29" s="23" t="s">
        <v>4</v>
      </c>
      <c r="E29" s="23" t="s">
        <v>5</v>
      </c>
      <c r="F29" s="23" t="s">
        <v>6</v>
      </c>
      <c r="G29" s="23" t="s">
        <v>7</v>
      </c>
      <c r="H29" s="23" t="s">
        <v>8</v>
      </c>
      <c r="I29" s="23" t="s">
        <v>9</v>
      </c>
      <c r="J29" s="23" t="s">
        <v>10</v>
      </c>
      <c r="K29" s="23" t="s">
        <v>11</v>
      </c>
      <c r="L29" s="23" t="s">
        <v>12</v>
      </c>
      <c r="M29" s="23" t="s">
        <v>13</v>
      </c>
      <c r="N29" s="23" t="s">
        <v>14</v>
      </c>
      <c r="O29" s="23" t="s">
        <v>15</v>
      </c>
      <c r="P29" s="23" t="s">
        <v>16</v>
      </c>
      <c r="Q29" s="23" t="s">
        <v>17</v>
      </c>
      <c r="R29" s="23" t="s">
        <v>18</v>
      </c>
      <c r="S29" s="23" t="s">
        <v>19</v>
      </c>
      <c r="T29" s="23" t="s">
        <v>20</v>
      </c>
      <c r="U29" s="23" t="s">
        <v>21</v>
      </c>
      <c r="V29" s="23" t="s">
        <v>22</v>
      </c>
      <c r="W29" s="23" t="s">
        <v>23</v>
      </c>
      <c r="X29" s="23" t="s">
        <v>94</v>
      </c>
      <c r="Y29" s="24" t="s">
        <v>95</v>
      </c>
      <c r="Z29" s="4" t="s">
        <v>96</v>
      </c>
      <c r="AA29" s="4"/>
      <c r="AB29" s="4"/>
      <c r="AC29" s="4"/>
      <c r="AD29" s="4"/>
      <c r="AE29" s="4"/>
      <c r="AF29" s="4"/>
      <c r="AG29" s="4"/>
    </row>
    <row r="30">
      <c r="A30" s="27" t="s">
        <v>97</v>
      </c>
      <c r="B30" s="4"/>
      <c r="C30" s="17">
        <v>400.0</v>
      </c>
      <c r="D30" s="17">
        <v>400.0</v>
      </c>
      <c r="E30" s="17">
        <v>400.0</v>
      </c>
      <c r="F30" s="17">
        <v>400.0</v>
      </c>
      <c r="G30" s="17">
        <v>400.0</v>
      </c>
      <c r="H30" s="17">
        <v>400.0</v>
      </c>
      <c r="I30" s="17">
        <v>400.0</v>
      </c>
      <c r="J30" s="17">
        <v>400.0</v>
      </c>
      <c r="K30" s="17">
        <v>400.0</v>
      </c>
      <c r="L30" s="17">
        <v>400.0</v>
      </c>
      <c r="M30" s="17">
        <v>400.0</v>
      </c>
      <c r="N30" s="17">
        <v>400.0</v>
      </c>
      <c r="O30" s="17">
        <v>400.0</v>
      </c>
      <c r="P30" s="17">
        <v>400.0</v>
      </c>
      <c r="Q30" s="17">
        <v>400.0</v>
      </c>
      <c r="R30" s="17">
        <v>400.0</v>
      </c>
      <c r="S30" s="17">
        <v>400.0</v>
      </c>
      <c r="T30" s="17">
        <v>400.0</v>
      </c>
      <c r="U30" s="17">
        <v>400.0</v>
      </c>
      <c r="V30" s="17">
        <v>400.0</v>
      </c>
      <c r="W30" s="17">
        <v>400.0</v>
      </c>
      <c r="X30" s="17"/>
      <c r="Y30" s="17"/>
      <c r="Z30" s="4"/>
      <c r="AA30" s="4"/>
      <c r="AB30" s="4"/>
      <c r="AC30" s="4"/>
      <c r="AD30" s="4"/>
      <c r="AE30" s="4"/>
      <c r="AF30" s="4"/>
      <c r="AG30" s="4"/>
    </row>
    <row r="31">
      <c r="A31" s="4" t="s">
        <v>98</v>
      </c>
      <c r="B31" s="4"/>
      <c r="C31" s="17">
        <f t="shared" ref="C31:W31" si="8">-C6*1000/(C5)</f>
        <v>1153540.69</v>
      </c>
      <c r="D31" s="17">
        <f t="shared" si="8"/>
        <v>467273.8036</v>
      </c>
      <c r="E31" s="17">
        <f t="shared" si="8"/>
        <v>531959.3314</v>
      </c>
      <c r="F31" s="17">
        <f t="shared" si="8"/>
        <v>6405144.189</v>
      </c>
      <c r="G31" s="17">
        <f t="shared" si="8"/>
        <v>12791068.8</v>
      </c>
      <c r="H31" s="17">
        <f t="shared" si="8"/>
        <v>-55492301.14</v>
      </c>
      <c r="I31" s="17">
        <f t="shared" si="8"/>
        <v>-7904900.725</v>
      </c>
      <c r="J31" s="17">
        <f t="shared" si="8"/>
        <v>-11359252.54</v>
      </c>
      <c r="K31" s="17">
        <f t="shared" si="8"/>
        <v>-8312523.225</v>
      </c>
      <c r="L31" s="17">
        <f t="shared" si="8"/>
        <v>-65337193.33</v>
      </c>
      <c r="M31" s="17">
        <f t="shared" si="8"/>
        <v>7816995.617</v>
      </c>
      <c r="N31" s="17">
        <f t="shared" si="8"/>
        <v>6112110.292</v>
      </c>
      <c r="O31" s="17">
        <f t="shared" si="8"/>
        <v>-4310948.808</v>
      </c>
      <c r="P31" s="17">
        <f t="shared" si="8"/>
        <v>-7818408.364</v>
      </c>
      <c r="Q31" s="17">
        <f t="shared" si="8"/>
        <v>-3111764.339</v>
      </c>
      <c r="R31" s="17">
        <f t="shared" si="8"/>
        <v>-3142326.3</v>
      </c>
      <c r="S31" s="17">
        <f t="shared" si="8"/>
        <v>-3237666.147</v>
      </c>
      <c r="T31" s="17">
        <f t="shared" si="8"/>
        <v>-3289206.794</v>
      </c>
      <c r="U31" s="17">
        <f t="shared" si="8"/>
        <v>-3371010.727</v>
      </c>
      <c r="V31" s="17">
        <f t="shared" si="8"/>
        <v>11579045.77</v>
      </c>
      <c r="W31" s="17">
        <f t="shared" si="8"/>
        <v>-31258997.58</v>
      </c>
      <c r="X31" s="17"/>
      <c r="Y31" s="17"/>
      <c r="Z31" s="4"/>
      <c r="AA31" s="4" t="s">
        <v>99</v>
      </c>
      <c r="AB31" s="4"/>
      <c r="AC31" s="4"/>
      <c r="AD31" s="4"/>
      <c r="AE31" s="4"/>
      <c r="AF31" s="4"/>
      <c r="AG31" s="4"/>
    </row>
    <row r="32">
      <c r="A32" s="4" t="s">
        <v>100</v>
      </c>
      <c r="B32" s="4"/>
      <c r="C32" s="17">
        <f t="shared" ref="C32:W32" si="9">(C4-C3)/2</f>
        <v>38.19664669</v>
      </c>
      <c r="D32" s="17">
        <f t="shared" si="9"/>
        <v>14.49641036</v>
      </c>
      <c r="E32" s="17">
        <f t="shared" si="9"/>
        <v>16.8871578</v>
      </c>
      <c r="F32" s="17">
        <f t="shared" si="9"/>
        <v>39.72491815</v>
      </c>
      <c r="G32" s="17">
        <f t="shared" si="9"/>
        <v>76.54082955</v>
      </c>
      <c r="H32" s="17">
        <f t="shared" si="9"/>
        <v>-251.7709288</v>
      </c>
      <c r="I32" s="17">
        <f t="shared" si="9"/>
        <v>-38.02331205</v>
      </c>
      <c r="J32" s="17">
        <f t="shared" si="9"/>
        <v>-54.45073735</v>
      </c>
      <c r="K32" s="17">
        <f t="shared" si="9"/>
        <v>-40.4964054</v>
      </c>
      <c r="L32" s="17">
        <f t="shared" si="9"/>
        <v>-87.52975608</v>
      </c>
      <c r="M32" s="17">
        <f t="shared" si="9"/>
        <v>86.90152174</v>
      </c>
      <c r="N32" s="17">
        <f t="shared" si="9"/>
        <v>67.0000672</v>
      </c>
      <c r="O32" s="17">
        <f t="shared" si="9"/>
        <v>-47.23560965</v>
      </c>
      <c r="P32" s="17">
        <f t="shared" si="9"/>
        <v>-87.00129595</v>
      </c>
      <c r="Q32" s="17">
        <f t="shared" si="9"/>
        <v>-29.50302517</v>
      </c>
      <c r="R32" s="17">
        <f t="shared" si="9"/>
        <v>-35.14459671</v>
      </c>
      <c r="S32" s="17">
        <f t="shared" si="9"/>
        <v>-35.93686897</v>
      </c>
      <c r="T32" s="17">
        <f t="shared" si="9"/>
        <v>-36.01187515</v>
      </c>
      <c r="U32" s="17">
        <f t="shared" si="9"/>
        <v>-36.15297016</v>
      </c>
      <c r="V32" s="17">
        <f t="shared" si="9"/>
        <v>82.66472476</v>
      </c>
      <c r="W32" s="17">
        <f t="shared" si="9"/>
        <v>-147.4556875</v>
      </c>
      <c r="X32" s="17"/>
      <c r="Y32" s="17"/>
      <c r="Z32" s="4"/>
      <c r="AA32" s="4"/>
      <c r="AB32" s="4"/>
      <c r="AC32" s="4"/>
      <c r="AD32" s="4"/>
      <c r="AE32" s="4"/>
      <c r="AF32" s="4"/>
      <c r="AG32" s="4"/>
    </row>
    <row r="33">
      <c r="A33" s="27" t="s">
        <v>101</v>
      </c>
      <c r="B33" s="4"/>
      <c r="C33" s="13">
        <f t="shared" ref="C33:W33" si="10">C31/(C30*C32)</f>
        <v>75.50012828</v>
      </c>
      <c r="D33" s="13">
        <f t="shared" si="10"/>
        <v>80.58439848</v>
      </c>
      <c r="E33" s="13">
        <f t="shared" si="10"/>
        <v>78.75205196</v>
      </c>
      <c r="F33" s="13">
        <f t="shared" si="10"/>
        <v>403.0936052</v>
      </c>
      <c r="G33" s="13">
        <f t="shared" si="10"/>
        <v>417.7858039</v>
      </c>
      <c r="H33" s="13">
        <f t="shared" si="10"/>
        <v>551.0197446</v>
      </c>
      <c r="I33" s="13">
        <f t="shared" si="10"/>
        <v>519.7404105</v>
      </c>
      <c r="J33" s="13">
        <f t="shared" si="10"/>
        <v>521.5380497</v>
      </c>
      <c r="K33" s="13">
        <f t="shared" si="10"/>
        <v>513.1642638</v>
      </c>
      <c r="L33" s="13">
        <f t="shared" si="10"/>
        <v>1866.142334</v>
      </c>
      <c r="M33" s="13">
        <f t="shared" si="10"/>
        <v>224.8808611</v>
      </c>
      <c r="N33" s="13">
        <f t="shared" si="10"/>
        <v>228.0635881</v>
      </c>
      <c r="O33" s="13">
        <f t="shared" si="10"/>
        <v>228.162018</v>
      </c>
      <c r="P33" s="13">
        <f t="shared" si="10"/>
        <v>224.6635604</v>
      </c>
      <c r="Q33" s="13">
        <f t="shared" si="10"/>
        <v>263.6818022</v>
      </c>
      <c r="R33" s="13">
        <f t="shared" si="10"/>
        <v>223.5284079</v>
      </c>
      <c r="S33" s="13">
        <f t="shared" si="10"/>
        <v>225.2329043</v>
      </c>
      <c r="T33" s="13">
        <f t="shared" si="10"/>
        <v>228.3418165</v>
      </c>
      <c r="U33" s="13">
        <f t="shared" si="10"/>
        <v>233.1074537</v>
      </c>
      <c r="V33" s="13">
        <f t="shared" si="10"/>
        <v>350.1809813</v>
      </c>
      <c r="W33" s="13">
        <f t="shared" si="10"/>
        <v>529.9727347</v>
      </c>
      <c r="X33" s="44"/>
      <c r="Y33" s="44"/>
      <c r="Z33" s="4"/>
      <c r="AA33" s="4"/>
      <c r="AB33" s="4"/>
      <c r="AC33" s="4"/>
      <c r="AD33" s="4"/>
      <c r="AE33" s="4"/>
      <c r="AF33" s="4"/>
      <c r="AG33" s="4"/>
    </row>
    <row r="34">
      <c r="A34" s="27" t="s">
        <v>46</v>
      </c>
      <c r="B34" s="13">
        <v>24000.0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>
      <c r="A35" s="27" t="s">
        <v>49</v>
      </c>
      <c r="B35" s="13">
        <v>46.0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>
      <c r="A36" s="27" t="s">
        <v>52</v>
      </c>
      <c r="B36" s="13">
        <v>1.2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>
      <c r="A37" s="43" t="s">
        <v>55</v>
      </c>
      <c r="B37" s="4"/>
      <c r="C37" s="13">
        <f t="shared" ref="C37:W37" si="11">$B$34+$B$35*(C33)^$B$36</f>
        <v>32246.98224</v>
      </c>
      <c r="D37" s="13">
        <f t="shared" si="11"/>
        <v>32917.82599</v>
      </c>
      <c r="E37" s="13">
        <f t="shared" si="11"/>
        <v>32675.05198</v>
      </c>
      <c r="F37" s="13">
        <f t="shared" si="11"/>
        <v>85552.39015</v>
      </c>
      <c r="G37" s="13">
        <f t="shared" si="11"/>
        <v>88254.30735</v>
      </c>
      <c r="H37" s="13">
        <f t="shared" si="11"/>
        <v>113569.1443</v>
      </c>
      <c r="I37" s="13">
        <f t="shared" si="11"/>
        <v>107502.9106</v>
      </c>
      <c r="J37" s="13">
        <f t="shared" si="11"/>
        <v>107849.6067</v>
      </c>
      <c r="K37" s="13">
        <f t="shared" si="11"/>
        <v>106236.6703</v>
      </c>
      <c r="L37" s="13">
        <f t="shared" si="11"/>
        <v>411160.9527</v>
      </c>
      <c r="M37" s="13">
        <f t="shared" si="11"/>
        <v>54556.3043</v>
      </c>
      <c r="N37" s="13">
        <f t="shared" si="11"/>
        <v>55075.99014</v>
      </c>
      <c r="O37" s="13">
        <f t="shared" si="11"/>
        <v>55092.08533</v>
      </c>
      <c r="P37" s="13">
        <f t="shared" si="11"/>
        <v>54520.87614</v>
      </c>
      <c r="Q37" s="13">
        <f t="shared" si="11"/>
        <v>60987.41854</v>
      </c>
      <c r="R37" s="13">
        <f t="shared" si="11"/>
        <v>54335.91519</v>
      </c>
      <c r="S37" s="13">
        <f t="shared" si="11"/>
        <v>54613.71508</v>
      </c>
      <c r="T37" s="13">
        <f t="shared" si="11"/>
        <v>55121.48943</v>
      </c>
      <c r="U37" s="13">
        <f t="shared" si="11"/>
        <v>55902.53724</v>
      </c>
      <c r="V37" s="13">
        <f t="shared" si="11"/>
        <v>75988.69285</v>
      </c>
      <c r="W37" s="13">
        <f t="shared" si="11"/>
        <v>109479.5179</v>
      </c>
      <c r="X37" s="44"/>
      <c r="Y37" s="44"/>
      <c r="Z37" s="17">
        <f>sum(C37:Y37)</f>
        <v>1803640.384</v>
      </c>
      <c r="AA37" s="4"/>
      <c r="AB37" s="4"/>
      <c r="AC37" s="4"/>
      <c r="AD37" s="4"/>
      <c r="AE37" s="4"/>
      <c r="AF37" s="4"/>
      <c r="AG37" s="4"/>
    </row>
    <row r="38">
      <c r="A38" s="47" t="s">
        <v>56</v>
      </c>
      <c r="B38" s="48">
        <f>D38*A4</f>
        <v>21179646.4</v>
      </c>
      <c r="C38" s="51" t="s">
        <v>57</v>
      </c>
      <c r="D38" s="52">
        <f>Z37*B39</f>
        <v>2344732.5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>
      <c r="A39" s="53" t="s">
        <v>58</v>
      </c>
      <c r="B39" s="17">
        <v>1.3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>
      <c r="A44" s="21" t="s">
        <v>102</v>
      </c>
      <c r="B44" s="27" t="s">
        <v>103</v>
      </c>
      <c r="C44" s="27" t="s">
        <v>104</v>
      </c>
      <c r="D44" s="27" t="s">
        <v>105</v>
      </c>
      <c r="E44" s="27" t="s">
        <v>106</v>
      </c>
      <c r="F44" s="27" t="s">
        <v>107</v>
      </c>
      <c r="G44" s="27" t="s">
        <v>108</v>
      </c>
      <c r="H44" s="26" t="s">
        <v>109</v>
      </c>
      <c r="I44" s="26" t="s">
        <v>110</v>
      </c>
      <c r="J44" s="26"/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>
      <c r="A45" s="27" t="s">
        <v>111</v>
      </c>
      <c r="B45" s="44">
        <v>1000.0</v>
      </c>
      <c r="C45" s="38">
        <v>1016.0</v>
      </c>
      <c r="D45" s="38">
        <v>1016.0</v>
      </c>
      <c r="E45" s="38">
        <v>1017.0</v>
      </c>
      <c r="F45" s="38">
        <v>1018.0</v>
      </c>
      <c r="G45" s="38">
        <v>1021.0</v>
      </c>
      <c r="H45" s="38">
        <v>612.5</v>
      </c>
      <c r="I45" s="26">
        <v>641.9</v>
      </c>
      <c r="J45" s="26"/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>
      <c r="A46" s="27" t="s">
        <v>112</v>
      </c>
      <c r="B46" s="44">
        <v>13.78</v>
      </c>
      <c r="C46" s="38">
        <v>7.954</v>
      </c>
      <c r="D46" s="38">
        <v>14.12</v>
      </c>
      <c r="E46" s="38">
        <v>24.98</v>
      </c>
      <c r="F46" s="38">
        <v>43.48</v>
      </c>
      <c r="G46" s="38">
        <v>73.48</v>
      </c>
      <c r="H46" s="38">
        <v>120.5</v>
      </c>
      <c r="I46" s="26">
        <v>3.953</v>
      </c>
      <c r="J46" s="26"/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>
      <c r="A47" s="27" t="s">
        <v>113</v>
      </c>
      <c r="B47" s="13">
        <f t="shared" ref="B47:I47" si="12">0.07*((B45-B46)/B46)^0.5</f>
        <v>0.5921889972</v>
      </c>
      <c r="C47" s="13">
        <f t="shared" si="12"/>
        <v>0.7880348462</v>
      </c>
      <c r="D47" s="13">
        <f t="shared" si="12"/>
        <v>0.5896421828</v>
      </c>
      <c r="E47" s="13">
        <f t="shared" si="12"/>
        <v>0.4411253714</v>
      </c>
      <c r="F47" s="13">
        <f t="shared" si="12"/>
        <v>0.3313970595</v>
      </c>
      <c r="G47" s="13">
        <f t="shared" si="12"/>
        <v>0.251366651</v>
      </c>
      <c r="H47" s="13">
        <f t="shared" si="12"/>
        <v>0.1414448267</v>
      </c>
      <c r="I47" s="13">
        <f t="shared" si="12"/>
        <v>0.889256263</v>
      </c>
      <c r="J47" s="13"/>
      <c r="K47" s="1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>
      <c r="A48" s="27" t="s">
        <v>114</v>
      </c>
      <c r="B48" s="13">
        <f>7394/3600</f>
        <v>2.053888889</v>
      </c>
      <c r="C48" s="13">
        <f>5994/3600</f>
        <v>1.665</v>
      </c>
      <c r="D48" s="13">
        <f>3374/(3600)</f>
        <v>0.9372222222</v>
      </c>
      <c r="E48" s="13">
        <f>1906/(3600)</f>
        <v>0.5294444444</v>
      </c>
      <c r="F48" s="13">
        <f>1095/(3600)</f>
        <v>0.3041666667</v>
      </c>
      <c r="G48" s="13">
        <f>648/(3600)</f>
        <v>0.18</v>
      </c>
      <c r="H48" s="13">
        <f>266.1/(3600)</f>
        <v>0.07391666667</v>
      </c>
      <c r="I48" s="13">
        <f>1409/3600</f>
        <v>0.3913888889</v>
      </c>
      <c r="J48" s="13"/>
      <c r="K48" s="13"/>
      <c r="L48" s="4" t="s">
        <v>115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>
      <c r="A49" s="27" t="s">
        <v>116</v>
      </c>
      <c r="B49" s="13">
        <f t="shared" ref="B49:C49" si="13">(4*B48/(3.14*B47))^(0.5)</f>
        <v>2.101955306</v>
      </c>
      <c r="C49" s="13">
        <f t="shared" si="13"/>
        <v>1.640588185</v>
      </c>
      <c r="D49" s="13">
        <f>(4*C48/(3.14*D47))^(0.5)</f>
        <v>1.896609921</v>
      </c>
      <c r="E49" s="13">
        <f t="shared" ref="E49:I49" si="14">(4*E48/(3.14*E47))^(0.5)</f>
        <v>1.236500655</v>
      </c>
      <c r="F49" s="13">
        <f t="shared" si="14"/>
        <v>1.081301127</v>
      </c>
      <c r="G49" s="13">
        <f t="shared" si="14"/>
        <v>0.9550972501</v>
      </c>
      <c r="H49" s="13">
        <f t="shared" si="14"/>
        <v>0.8159110682</v>
      </c>
      <c r="I49" s="13">
        <f t="shared" si="14"/>
        <v>0.7487829581</v>
      </c>
      <c r="J49" s="13"/>
      <c r="K49" s="1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>
      <c r="A50" s="27" t="s">
        <v>117</v>
      </c>
      <c r="B50" s="13">
        <f t="shared" ref="B50:I50" si="15">B49*3.2808399</f>
        <v>6.896178836</v>
      </c>
      <c r="C50" s="13">
        <f t="shared" si="15"/>
        <v>5.382507176</v>
      </c>
      <c r="D50" s="13">
        <f t="shared" si="15"/>
        <v>6.222473503</v>
      </c>
      <c r="E50" s="13">
        <f t="shared" si="15"/>
        <v>4.056760687</v>
      </c>
      <c r="F50" s="13">
        <f t="shared" si="15"/>
        <v>3.547575881</v>
      </c>
      <c r="G50" s="13">
        <f t="shared" si="15"/>
        <v>3.133521167</v>
      </c>
      <c r="H50" s="13">
        <f t="shared" si="15"/>
        <v>2.676873587</v>
      </c>
      <c r="I50" s="13">
        <f t="shared" si="15"/>
        <v>2.456637005</v>
      </c>
      <c r="J50" s="13"/>
      <c r="K50" s="1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>
      <c r="A51" s="27" t="s">
        <v>118</v>
      </c>
      <c r="B51" s="13">
        <f>7/3.2808399</f>
        <v>2.133599997</v>
      </c>
      <c r="C51" s="13">
        <f>5/3.2808399</f>
        <v>1.523999998</v>
      </c>
      <c r="D51" s="13">
        <f>6/3.2808399</f>
        <v>1.828799997</v>
      </c>
      <c r="E51" s="13">
        <f t="shared" ref="E51:F51" si="16">4/3.2808399</f>
        <v>1.219199998</v>
      </c>
      <c r="F51" s="13">
        <f t="shared" si="16"/>
        <v>1.219199998</v>
      </c>
      <c r="G51" s="13">
        <f t="shared" ref="G51:H51" si="17">3/3.2808399</f>
        <v>0.9143999986</v>
      </c>
      <c r="H51" s="13">
        <f t="shared" si="17"/>
        <v>0.9143999986</v>
      </c>
      <c r="I51" s="13">
        <f>2/3.2808399</f>
        <v>0.6095999991</v>
      </c>
      <c r="J51" s="13"/>
      <c r="K51" s="1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>
      <c r="A52" s="27" t="s">
        <v>119</v>
      </c>
      <c r="B52" s="13">
        <f>72.45/(3600)</f>
        <v>0.020125</v>
      </c>
      <c r="C52" s="13">
        <f>0.6966/(3600)</f>
        <v>0.0001935</v>
      </c>
      <c r="D52" s="17">
        <f>0.02694/3600</f>
        <v>0.000007483333333</v>
      </c>
      <c r="E52" s="17">
        <f>0.01743/3600</f>
        <v>0.000004841666667</v>
      </c>
      <c r="F52" s="17">
        <f>0.008983/3600</f>
        <v>0.000002495277778</v>
      </c>
      <c r="G52" s="17">
        <f>0.00382/3600</f>
        <v>0.000001061111111</v>
      </c>
      <c r="H52" s="17">
        <f>82.3/3600</f>
        <v>0.02286111111</v>
      </c>
      <c r="I52" s="38">
        <f>69.85/3600</f>
        <v>0.01940277778</v>
      </c>
      <c r="J52" s="17"/>
      <c r="K52" s="17"/>
      <c r="L52" s="4" t="s">
        <v>120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>
      <c r="A53" s="27" t="s">
        <v>121</v>
      </c>
      <c r="B53" s="13">
        <v>600.0</v>
      </c>
      <c r="C53" s="13">
        <v>600.0</v>
      </c>
      <c r="D53" s="13">
        <v>600.0</v>
      </c>
      <c r="E53" s="13">
        <v>600.0</v>
      </c>
      <c r="F53" s="13">
        <v>600.0</v>
      </c>
      <c r="G53" s="13">
        <v>600.0</v>
      </c>
      <c r="H53" s="13">
        <v>600.0</v>
      </c>
      <c r="I53" s="13">
        <v>600.0</v>
      </c>
      <c r="J53" s="13"/>
      <c r="K53" s="1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>
      <c r="A54" s="27" t="s">
        <v>122</v>
      </c>
      <c r="B54" s="13">
        <f t="shared" ref="B54:I54" si="18">B52*B53</f>
        <v>12.075</v>
      </c>
      <c r="C54" s="13">
        <f t="shared" si="18"/>
        <v>0.1161</v>
      </c>
      <c r="D54" s="13">
        <f t="shared" si="18"/>
        <v>0.00449</v>
      </c>
      <c r="E54" s="13">
        <f t="shared" si="18"/>
        <v>0.002905</v>
      </c>
      <c r="F54" s="13">
        <f t="shared" si="18"/>
        <v>0.001497166667</v>
      </c>
      <c r="G54" s="13">
        <f t="shared" si="18"/>
        <v>0.0006366666667</v>
      </c>
      <c r="H54" s="13">
        <f t="shared" si="18"/>
        <v>13.71666667</v>
      </c>
      <c r="I54" s="13">
        <f t="shared" si="18"/>
        <v>11.64166667</v>
      </c>
      <c r="J54" s="13"/>
      <c r="K54" s="1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>
      <c r="A55" s="27" t="s">
        <v>123</v>
      </c>
      <c r="B55" s="13">
        <f t="shared" ref="B55:I55" si="19">B54/(3.14*((B51^2)))*4</f>
        <v>3.379025573</v>
      </c>
      <c r="C55" s="13">
        <f t="shared" si="19"/>
        <v>0.0636784715</v>
      </c>
      <c r="D55" s="13">
        <f t="shared" si="19"/>
        <v>0.001710189594</v>
      </c>
      <c r="E55" s="13">
        <f t="shared" si="19"/>
        <v>0.002489582791</v>
      </c>
      <c r="F55" s="13">
        <f t="shared" si="19"/>
        <v>0.001283070695</v>
      </c>
      <c r="G55" s="13">
        <f t="shared" si="19"/>
        <v>0.0009699961764</v>
      </c>
      <c r="H55" s="13">
        <f t="shared" si="19"/>
        <v>20.89808516</v>
      </c>
      <c r="I55" s="13">
        <f t="shared" si="19"/>
        <v>39.90759792</v>
      </c>
      <c r="J55" s="13"/>
      <c r="K55" s="1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>
      <c r="A56" s="27" t="s">
        <v>124</v>
      </c>
      <c r="B56" s="13">
        <f t="shared" ref="B56:I56" si="20">B51/2+B51+0.4+B55</f>
        <v>6.979425568</v>
      </c>
      <c r="C56" s="13">
        <f t="shared" si="20"/>
        <v>2.749678468</v>
      </c>
      <c r="D56" s="13">
        <f t="shared" si="20"/>
        <v>3.144910185</v>
      </c>
      <c r="E56" s="13">
        <f t="shared" si="20"/>
        <v>2.23128958</v>
      </c>
      <c r="F56" s="13">
        <f t="shared" si="20"/>
        <v>2.230083068</v>
      </c>
      <c r="G56" s="13">
        <f t="shared" si="20"/>
        <v>1.772569994</v>
      </c>
      <c r="H56" s="13">
        <f t="shared" si="20"/>
        <v>22.66968516</v>
      </c>
      <c r="I56" s="13">
        <f t="shared" si="20"/>
        <v>41.22199792</v>
      </c>
      <c r="J56" s="13"/>
      <c r="K56" s="1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>
      <c r="A57" s="27" t="s">
        <v>125</v>
      </c>
      <c r="B57" s="44">
        <v>2385000.0</v>
      </c>
      <c r="C57" s="44">
        <v>2216000.0</v>
      </c>
      <c r="D57" s="44">
        <v>3994000.0</v>
      </c>
      <c r="E57" s="38">
        <v>7211000.0</v>
      </c>
      <c r="F57" s="38">
        <v>1.302E7</v>
      </c>
      <c r="G57" s="38">
        <v>2.35E7</v>
      </c>
      <c r="H57" s="38">
        <v>2.25E7</v>
      </c>
      <c r="I57" s="38">
        <v>500000.0</v>
      </c>
      <c r="J57" s="38"/>
      <c r="K57" s="3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>
      <c r="A58" s="27" t="s">
        <v>126</v>
      </c>
      <c r="B58" s="13">
        <f t="shared" ref="B58:I58" si="21">B57*1.1</f>
        <v>2623500</v>
      </c>
      <c r="C58" s="13">
        <f t="shared" si="21"/>
        <v>2437600</v>
      </c>
      <c r="D58" s="13">
        <f t="shared" si="21"/>
        <v>4393400</v>
      </c>
      <c r="E58" s="13">
        <f t="shared" si="21"/>
        <v>7932100</v>
      </c>
      <c r="F58" s="13">
        <f t="shared" si="21"/>
        <v>14322000</v>
      </c>
      <c r="G58" s="13">
        <f t="shared" si="21"/>
        <v>25850000</v>
      </c>
      <c r="H58" s="13">
        <f t="shared" si="21"/>
        <v>24750000</v>
      </c>
      <c r="I58" s="13">
        <f t="shared" si="21"/>
        <v>550000</v>
      </c>
      <c r="J58" s="13"/>
      <c r="K58" s="1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>
      <c r="A59" s="27" t="s">
        <v>127</v>
      </c>
      <c r="B59" s="13">
        <f t="shared" ref="B59:I59" si="22">89*(10^6)*1</f>
        <v>89000000</v>
      </c>
      <c r="C59" s="13">
        <f t="shared" si="22"/>
        <v>89000000</v>
      </c>
      <c r="D59" s="13">
        <f t="shared" si="22"/>
        <v>89000000</v>
      </c>
      <c r="E59" s="13">
        <f t="shared" si="22"/>
        <v>89000000</v>
      </c>
      <c r="F59" s="13">
        <f t="shared" si="22"/>
        <v>89000000</v>
      </c>
      <c r="G59" s="13">
        <f t="shared" si="22"/>
        <v>89000000</v>
      </c>
      <c r="H59" s="13">
        <f t="shared" si="22"/>
        <v>89000000</v>
      </c>
      <c r="I59" s="13">
        <f t="shared" si="22"/>
        <v>89000000</v>
      </c>
      <c r="J59" s="13"/>
      <c r="K59" s="1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>
      <c r="A60" s="27" t="s">
        <v>128</v>
      </c>
      <c r="B60" s="13">
        <f t="shared" ref="B60:I60" si="23">B58*B51/((2*B59)-(1.2*B58))</f>
        <v>0.03201282224</v>
      </c>
      <c r="C60" s="13">
        <f t="shared" si="23"/>
        <v>0.0212189344</v>
      </c>
      <c r="D60" s="13">
        <f t="shared" si="23"/>
        <v>0.04651621989</v>
      </c>
      <c r="E60" s="13">
        <f t="shared" si="23"/>
        <v>0.05739987745</v>
      </c>
      <c r="F60" s="13">
        <f t="shared" si="23"/>
        <v>0.1085815029</v>
      </c>
      <c r="G60" s="13">
        <f t="shared" si="23"/>
        <v>0.160819431</v>
      </c>
      <c r="H60" s="13">
        <f t="shared" si="23"/>
        <v>0.1526055291</v>
      </c>
      <c r="I60" s="13">
        <f t="shared" si="23"/>
        <v>0.001890605613</v>
      </c>
      <c r="J60" s="13"/>
      <c r="K60" s="1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>
      <c r="A61" s="27" t="s">
        <v>129</v>
      </c>
      <c r="B61" s="13">
        <v>8030.0</v>
      </c>
      <c r="C61" s="13">
        <v>8030.0</v>
      </c>
      <c r="D61" s="13">
        <v>8030.0</v>
      </c>
      <c r="E61" s="13">
        <v>8030.0</v>
      </c>
      <c r="F61" s="13">
        <v>8030.0</v>
      </c>
      <c r="G61" s="13">
        <v>8030.0</v>
      </c>
      <c r="H61" s="13">
        <v>8030.0</v>
      </c>
      <c r="I61" s="13">
        <v>8030.0</v>
      </c>
      <c r="J61" s="13"/>
      <c r="K61" s="1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>
      <c r="A62" s="27" t="s">
        <v>130</v>
      </c>
      <c r="B62" s="13">
        <f t="shared" ref="B62:I62" si="24">3.14*B51*B56*B60*B61</f>
        <v>12019.92723</v>
      </c>
      <c r="C62" s="13">
        <f t="shared" si="24"/>
        <v>2242.000178</v>
      </c>
      <c r="D62" s="13">
        <f t="shared" si="24"/>
        <v>6745.654096</v>
      </c>
      <c r="E62" s="13">
        <f t="shared" si="24"/>
        <v>3937.196127</v>
      </c>
      <c r="F62" s="13">
        <f t="shared" si="24"/>
        <v>7443.840099</v>
      </c>
      <c r="G62" s="13">
        <f t="shared" si="24"/>
        <v>6572.389975</v>
      </c>
      <c r="H62" s="13">
        <f t="shared" si="24"/>
        <v>79762.20799</v>
      </c>
      <c r="I62" s="13">
        <f t="shared" si="24"/>
        <v>1197.898804</v>
      </c>
      <c r="J62" s="13"/>
      <c r="K62" s="1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>
      <c r="A63" s="27" t="s">
        <v>46</v>
      </c>
      <c r="B63" s="13">
        <v>15000.0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>
      <c r="A64" s="27" t="s">
        <v>49</v>
      </c>
      <c r="B64" s="13">
        <v>68.0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>
      <c r="A65" s="27" t="s">
        <v>52</v>
      </c>
      <c r="B65" s="13">
        <v>0.85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>
      <c r="A66" s="27" t="s">
        <v>131</v>
      </c>
      <c r="B66" s="13">
        <f t="shared" ref="B66:I66" si="25">$B$63+$B$64*(B62)^
$B$65</f>
        <v>214721.8018</v>
      </c>
      <c r="C66" s="13">
        <f t="shared" si="25"/>
        <v>62923.57511</v>
      </c>
      <c r="D66" s="13">
        <f t="shared" si="25"/>
        <v>137230.4386</v>
      </c>
      <c r="E66" s="13">
        <f t="shared" si="25"/>
        <v>92342.44631</v>
      </c>
      <c r="F66" s="13">
        <f t="shared" si="25"/>
        <v>147903.4922</v>
      </c>
      <c r="G66" s="13">
        <f t="shared" si="25"/>
        <v>134556.6503</v>
      </c>
      <c r="H66" s="13">
        <f t="shared" si="25"/>
        <v>1012783.93</v>
      </c>
      <c r="I66" s="13">
        <f t="shared" si="25"/>
        <v>43129.75983</v>
      </c>
      <c r="J66" s="13"/>
      <c r="K66" s="1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>
      <c r="A67" s="47" t="s">
        <v>56</v>
      </c>
      <c r="B67" s="48">
        <f>D67*A4</f>
        <v>16670979.72</v>
      </c>
      <c r="C67" s="32" t="s">
        <v>57</v>
      </c>
      <c r="D67" s="33">
        <f>SUM(B66:I66)</f>
        <v>1845592.095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>
      <c r="A68" s="5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>
      <c r="A70" s="34"/>
      <c r="B70" s="34"/>
      <c r="C70" s="34"/>
      <c r="D70" s="34"/>
      <c r="E70" s="34"/>
      <c r="F70" s="3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>
      <c r="A71" s="55" t="s">
        <v>132</v>
      </c>
      <c r="B71" s="34"/>
      <c r="C71" s="23" t="s">
        <v>133</v>
      </c>
      <c r="D71" s="23" t="s">
        <v>134</v>
      </c>
      <c r="E71" s="23" t="s">
        <v>135</v>
      </c>
      <c r="F71" s="24" t="s">
        <v>136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>
      <c r="A72" s="27" t="s">
        <v>137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>
      <c r="A73" s="27" t="s">
        <v>138</v>
      </c>
      <c r="B73" s="4"/>
      <c r="C73" s="13">
        <v>1.5</v>
      </c>
      <c r="D73" s="13">
        <v>1.5</v>
      </c>
      <c r="E73" s="13">
        <v>1.5</v>
      </c>
      <c r="F73" s="13">
        <v>1.5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>
      <c r="A74" s="27" t="s">
        <v>46</v>
      </c>
      <c r="B74" s="13">
        <v>110.0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>
      <c r="A75" s="27" t="s">
        <v>49</v>
      </c>
      <c r="B75" s="13">
        <v>380.0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>
      <c r="A76" s="27" t="s">
        <v>52</v>
      </c>
      <c r="B76" s="13">
        <v>1.8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>
      <c r="A77" s="21" t="s">
        <v>139</v>
      </c>
      <c r="B77" s="4"/>
      <c r="C77" s="13">
        <f t="shared" ref="C77:F77" si="26">$B$74+$B$75*(C73)^$B$76</f>
        <v>898.4022643</v>
      </c>
      <c r="D77" s="13">
        <f t="shared" si="26"/>
        <v>898.4022643</v>
      </c>
      <c r="E77" s="13">
        <f t="shared" si="26"/>
        <v>898.4022643</v>
      </c>
      <c r="F77" s="13">
        <f t="shared" si="26"/>
        <v>898.4022643</v>
      </c>
      <c r="G77" s="17">
        <f>sum(C77:F77)</f>
        <v>3593.609057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>
      <c r="A78" s="53" t="s">
        <v>140</v>
      </c>
      <c r="B78" s="4"/>
      <c r="C78" s="56">
        <f t="shared" ref="C78:F78" si="27">C90*C73/((2*B59)-(1.2*C90))</f>
        <v>0.02231410204</v>
      </c>
      <c r="D78" s="56">
        <f t="shared" si="27"/>
        <v>0.02231410204</v>
      </c>
      <c r="E78" s="56">
        <f t="shared" si="27"/>
        <v>0.02231410204</v>
      </c>
      <c r="F78" s="56">
        <f t="shared" si="27"/>
        <v>0.02231410204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>
      <c r="A79" s="4" t="s">
        <v>141</v>
      </c>
      <c r="B79" s="4"/>
      <c r="C79" s="17">
        <f t="shared" ref="C79:F79" si="28">(3.15*(C73^2)/4)*C80</f>
        <v>16.8328125</v>
      </c>
      <c r="D79" s="17">
        <f t="shared" si="28"/>
        <v>16.8328125</v>
      </c>
      <c r="E79" s="17">
        <f t="shared" si="28"/>
        <v>16.8328125</v>
      </c>
      <c r="F79" s="17">
        <f t="shared" si="28"/>
        <v>16.8328125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>
      <c r="A80" s="4" t="s">
        <v>142</v>
      </c>
      <c r="B80" s="4"/>
      <c r="C80" s="17">
        <f t="shared" ref="C80:F80" si="29">15*0.5+2</f>
        <v>9.5</v>
      </c>
      <c r="D80" s="17">
        <f t="shared" si="29"/>
        <v>9.5</v>
      </c>
      <c r="E80" s="17">
        <f t="shared" si="29"/>
        <v>9.5</v>
      </c>
      <c r="F80" s="17">
        <f t="shared" si="29"/>
        <v>9.5</v>
      </c>
      <c r="G80" s="4" t="s">
        <v>143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>
      <c r="A81" s="4" t="s">
        <v>144</v>
      </c>
      <c r="B81" s="4"/>
      <c r="C81" s="17">
        <f t="shared" ref="C81:F81" si="30">C79-((3.14*((C73-C78*2)^2)/4)*C80)</f>
        <v>1.037029068</v>
      </c>
      <c r="D81" s="17">
        <f t="shared" si="30"/>
        <v>1.037029068</v>
      </c>
      <c r="E81" s="17">
        <f t="shared" si="30"/>
        <v>1.037029068</v>
      </c>
      <c r="F81" s="17">
        <f t="shared" si="30"/>
        <v>1.037029068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>
      <c r="A82" s="4" t="s">
        <v>145</v>
      </c>
      <c r="B82" s="4"/>
      <c r="C82" s="17">
        <f t="shared" ref="C82:F82" si="31">(3.14*(C73^2)/4)*C78*2</f>
        <v>0.07882456547</v>
      </c>
      <c r="D82" s="17">
        <f t="shared" si="31"/>
        <v>0.07882456547</v>
      </c>
      <c r="E82" s="17">
        <f t="shared" si="31"/>
        <v>0.07882456547</v>
      </c>
      <c r="F82" s="17">
        <f t="shared" si="31"/>
        <v>0.07882456547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>
      <c r="A83" s="4" t="s">
        <v>146</v>
      </c>
      <c r="B83" s="4"/>
      <c r="C83" s="17">
        <f t="shared" ref="C83:F83" si="32">C82+C81</f>
        <v>1.115853633</v>
      </c>
      <c r="D83" s="17">
        <f t="shared" si="32"/>
        <v>1.115853633</v>
      </c>
      <c r="E83" s="17">
        <f t="shared" si="32"/>
        <v>1.115853633</v>
      </c>
      <c r="F83" s="17">
        <f t="shared" si="32"/>
        <v>1.115853633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>
      <c r="A84" s="4" t="s">
        <v>147</v>
      </c>
      <c r="B84" s="4"/>
      <c r="C84" s="17">
        <f t="shared" ref="C84:F84" si="33">8.03*1000</f>
        <v>8030</v>
      </c>
      <c r="D84" s="17">
        <f t="shared" si="33"/>
        <v>8030</v>
      </c>
      <c r="E84" s="17">
        <f t="shared" si="33"/>
        <v>8030</v>
      </c>
      <c r="F84" s="17">
        <f t="shared" si="33"/>
        <v>8030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>
      <c r="A85" s="27" t="s">
        <v>148</v>
      </c>
      <c r="B85" s="4"/>
      <c r="C85" s="13">
        <f t="shared" ref="C85:F85" si="34">C84*C83</f>
        <v>8960.304674</v>
      </c>
      <c r="D85" s="13">
        <f t="shared" si="34"/>
        <v>8960.304674</v>
      </c>
      <c r="E85" s="13">
        <f t="shared" si="34"/>
        <v>8960.304674</v>
      </c>
      <c r="F85" s="13">
        <f t="shared" si="34"/>
        <v>8960.304674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>
      <c r="A86" s="27" t="s">
        <v>46</v>
      </c>
      <c r="B86" s="13">
        <v>15000.0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>
      <c r="A87" s="27" t="s">
        <v>49</v>
      </c>
      <c r="B87" s="13">
        <v>68.0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>
      <c r="A88" s="27" t="s">
        <v>52</v>
      </c>
      <c r="B88" s="13">
        <v>0.85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>
      <c r="A89" s="27" t="s">
        <v>149</v>
      </c>
      <c r="B89" s="4"/>
      <c r="C89" s="13">
        <f t="shared" ref="C89:F89" si="35">$B$86+$B$87*(C85)^$B$88</f>
        <v>170590.5705</v>
      </c>
      <c r="D89" s="13">
        <f t="shared" si="35"/>
        <v>170590.5705</v>
      </c>
      <c r="E89" s="13">
        <f t="shared" si="35"/>
        <v>170590.5705</v>
      </c>
      <c r="F89" s="13">
        <f t="shared" si="35"/>
        <v>170590.5705</v>
      </c>
      <c r="G89" s="17">
        <f>sum(C89:F89)</f>
        <v>682362.282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>
      <c r="A90" s="53" t="s">
        <v>150</v>
      </c>
      <c r="B90" s="4"/>
      <c r="C90" s="13">
        <f t="shared" ref="C90:F90" si="36">2365000*1.1</f>
        <v>2601500</v>
      </c>
      <c r="D90" s="13">
        <f t="shared" si="36"/>
        <v>2601500</v>
      </c>
      <c r="E90" s="13">
        <f t="shared" si="36"/>
        <v>2601500</v>
      </c>
      <c r="F90" s="13">
        <f t="shared" si="36"/>
        <v>2601500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>
      <c r="A91" s="47" t="s">
        <v>56</v>
      </c>
      <c r="B91" s="48">
        <f>D91*A4</f>
        <v>6196145.283</v>
      </c>
      <c r="C91" s="57" t="s">
        <v>57</v>
      </c>
      <c r="D91" s="58">
        <f>G77+G89</f>
        <v>685955.8911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>
      <c r="A93" s="4"/>
      <c r="B93" s="4"/>
      <c r="C93" s="4"/>
      <c r="D93" s="4"/>
      <c r="E93" s="4"/>
      <c r="F93" s="4"/>
      <c r="G93" s="4"/>
      <c r="H93" s="4"/>
      <c r="I93" s="34" t="s">
        <v>151</v>
      </c>
      <c r="J93" s="4"/>
      <c r="K93" s="4" t="s">
        <v>152</v>
      </c>
      <c r="L93" s="27" t="s">
        <v>153</v>
      </c>
      <c r="M93" s="4" t="s">
        <v>154</v>
      </c>
      <c r="N93" s="27" t="s">
        <v>155</v>
      </c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>
      <c r="A94" s="4"/>
      <c r="B94" s="4"/>
      <c r="C94" s="4"/>
      <c r="D94" s="4"/>
      <c r="E94" s="4"/>
      <c r="F94" s="4"/>
      <c r="G94" s="4"/>
      <c r="H94" s="4"/>
      <c r="I94" s="4" t="s">
        <v>156</v>
      </c>
      <c r="J94" s="4"/>
      <c r="K94" s="13">
        <f t="shared" ref="K94:N94" si="37">2290*1000/3600</f>
        <v>636.1111111</v>
      </c>
      <c r="L94" s="13">
        <f t="shared" si="37"/>
        <v>636.1111111</v>
      </c>
      <c r="M94" s="13">
        <f t="shared" si="37"/>
        <v>636.1111111</v>
      </c>
      <c r="N94" s="13">
        <f t="shared" si="37"/>
        <v>636.1111111</v>
      </c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>
      <c r="A95" s="4" t="s">
        <v>157</v>
      </c>
      <c r="B95" s="26">
        <v>1.7</v>
      </c>
      <c r="C95" s="4"/>
      <c r="D95" s="4"/>
      <c r="E95" s="4"/>
      <c r="F95" s="4"/>
      <c r="G95" s="4"/>
      <c r="H95" s="4"/>
      <c r="I95" s="4" t="s">
        <v>46</v>
      </c>
      <c r="J95" s="17">
        <v>6900.0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>
      <c r="A96" s="27" t="s">
        <v>158</v>
      </c>
      <c r="B96" s="17">
        <v>1.3</v>
      </c>
      <c r="C96" s="4"/>
      <c r="D96" s="4"/>
      <c r="E96" s="59" t="s">
        <v>159</v>
      </c>
      <c r="F96" s="4"/>
      <c r="G96" s="4" t="s">
        <v>160</v>
      </c>
      <c r="H96" s="4"/>
      <c r="I96" s="4" t="s">
        <v>49</v>
      </c>
      <c r="J96" s="17">
        <v>206.0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>
      <c r="A97" s="27" t="s">
        <v>161</v>
      </c>
      <c r="B97" s="17">
        <v>0.3</v>
      </c>
      <c r="C97" s="4"/>
      <c r="D97" s="4"/>
      <c r="E97" s="60"/>
      <c r="F97" s="61"/>
      <c r="G97" s="4"/>
      <c r="H97" s="4"/>
      <c r="I97" s="4" t="s">
        <v>52</v>
      </c>
      <c r="J97" s="17">
        <v>0.9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>
      <c r="A98" s="27" t="s">
        <v>162</v>
      </c>
      <c r="B98" s="17">
        <v>0.8</v>
      </c>
      <c r="C98" s="4"/>
      <c r="D98" s="4"/>
      <c r="E98" s="60"/>
      <c r="F98" s="61"/>
      <c r="G98" s="4"/>
      <c r="H98" s="4"/>
      <c r="I98" s="4" t="s">
        <v>163</v>
      </c>
      <c r="J98" s="4"/>
      <c r="K98" s="42">
        <f t="shared" ref="K98:N98" si="38">$J$95+$J$96*(K94)^$J$97</f>
        <v>75614.26474</v>
      </c>
      <c r="L98" s="42">
        <f t="shared" si="38"/>
        <v>75614.26474</v>
      </c>
      <c r="M98" s="42">
        <f t="shared" si="38"/>
        <v>75614.26474</v>
      </c>
      <c r="N98" s="42">
        <f t="shared" si="38"/>
        <v>75614.26474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>
      <c r="A99" s="27" t="s">
        <v>164</v>
      </c>
      <c r="B99" s="17">
        <v>0.3</v>
      </c>
      <c r="C99" s="4"/>
      <c r="D99" s="4"/>
      <c r="E99" s="4" t="s">
        <v>165</v>
      </c>
      <c r="F99" s="38">
        <v>41053.0</v>
      </c>
      <c r="G99" s="4" t="s">
        <v>166</v>
      </c>
      <c r="H99" s="4"/>
      <c r="I99" s="4" t="s">
        <v>167</v>
      </c>
      <c r="J99" s="4"/>
      <c r="K99" s="44">
        <v>1754.0</v>
      </c>
      <c r="L99" s="44">
        <v>1754.0</v>
      </c>
      <c r="M99" s="44">
        <v>1754.0</v>
      </c>
      <c r="N99" s="44">
        <v>1754.0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>
      <c r="A100" s="27" t="s">
        <v>168</v>
      </c>
      <c r="B100" s="17">
        <v>0.2</v>
      </c>
      <c r="C100" s="4"/>
      <c r="D100" s="4"/>
      <c r="E100" s="4" t="s">
        <v>169</v>
      </c>
      <c r="F100" s="38">
        <v>87078.6</v>
      </c>
      <c r="G100" s="4" t="s">
        <v>166</v>
      </c>
      <c r="H100" s="4"/>
      <c r="I100" s="4" t="s">
        <v>46</v>
      </c>
      <c r="J100" s="17">
        <v>-950.0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>
      <c r="A101" s="27" t="s">
        <v>170</v>
      </c>
      <c r="B101" s="17">
        <v>0.3</v>
      </c>
      <c r="C101" s="4"/>
      <c r="D101" s="4"/>
      <c r="E101" s="4" t="s">
        <v>171</v>
      </c>
      <c r="F101" s="17">
        <f>-242/3600</f>
        <v>-0.06722222222</v>
      </c>
      <c r="G101" s="4"/>
      <c r="H101" s="4"/>
      <c r="I101" s="4" t="s">
        <v>49</v>
      </c>
      <c r="J101" s="17">
        <v>1770.0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>
      <c r="A102" s="27" t="s">
        <v>172</v>
      </c>
      <c r="B102" s="17">
        <v>0.2</v>
      </c>
      <c r="C102" s="4"/>
      <c r="D102" s="4"/>
      <c r="E102" s="41" t="s">
        <v>173</v>
      </c>
      <c r="F102" s="17">
        <f>((-2*242-394)+74)/3600</f>
        <v>-0.2233333333</v>
      </c>
      <c r="G102" s="4"/>
      <c r="H102" s="4"/>
      <c r="I102" s="4" t="s">
        <v>52</v>
      </c>
      <c r="J102" s="17">
        <v>0.6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>
      <c r="A103" s="27" t="s">
        <v>174</v>
      </c>
      <c r="B103" s="17">
        <v>0.1</v>
      </c>
      <c r="C103" s="4"/>
      <c r="D103" s="4"/>
      <c r="E103" s="4" t="s">
        <v>175</v>
      </c>
      <c r="F103" s="17">
        <f>221377432.3/(3600)</f>
        <v>61493.73119</v>
      </c>
      <c r="G103" s="4"/>
      <c r="H103" s="4"/>
      <c r="I103" s="4" t="s">
        <v>163</v>
      </c>
      <c r="J103" s="4"/>
      <c r="K103" s="4">
        <f t="shared" ref="K103:N103" si="39">$J$100+$J$101*(K99)^$J$102</f>
        <v>155505.5666</v>
      </c>
      <c r="L103" s="4">
        <f t="shared" si="39"/>
        <v>155505.5666</v>
      </c>
      <c r="M103" s="4">
        <f t="shared" si="39"/>
        <v>155505.5666</v>
      </c>
      <c r="N103" s="4">
        <f t="shared" si="39"/>
        <v>155505.5666</v>
      </c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>
      <c r="A104" s="27" t="s">
        <v>176</v>
      </c>
      <c r="B104" s="17">
        <v>0.3</v>
      </c>
      <c r="C104" s="4"/>
      <c r="D104" s="4"/>
      <c r="E104" s="4" t="s">
        <v>177</v>
      </c>
      <c r="F104" s="17">
        <f>F99*F102*0.6</f>
        <v>-5501.102</v>
      </c>
      <c r="G104" s="4"/>
      <c r="H104" s="4"/>
      <c r="I104" s="47" t="s">
        <v>56</v>
      </c>
      <c r="J104" s="48">
        <f>L104*A4</f>
        <v>10855903.09</v>
      </c>
      <c r="K104" s="62" t="s">
        <v>178</v>
      </c>
      <c r="L104" s="58">
        <f>(sum(K98:N98)+sum(K103:N103))*J105</f>
        <v>1201823.123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>
      <c r="A105" s="27" t="s">
        <v>179</v>
      </c>
      <c r="B105" s="17">
        <v>0.3</v>
      </c>
      <c r="C105" s="4"/>
      <c r="D105" s="4"/>
      <c r="E105" s="1" t="s">
        <v>180</v>
      </c>
      <c r="F105" s="63">
        <f>F100*F101*0.6</f>
        <v>-3512.1702</v>
      </c>
      <c r="G105" s="3"/>
      <c r="H105" s="4"/>
      <c r="I105" s="27" t="s">
        <v>158</v>
      </c>
      <c r="J105" s="17">
        <v>1.3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>
      <c r="A106" s="27" t="s">
        <v>181</v>
      </c>
      <c r="B106" s="17">
        <v>0.1</v>
      </c>
      <c r="C106" s="4"/>
      <c r="D106" s="4"/>
      <c r="E106" s="64" t="s">
        <v>182</v>
      </c>
      <c r="F106" s="65">
        <f>F103+F104+F105</f>
        <v>52480.45899</v>
      </c>
      <c r="G106" s="66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>
      <c r="A107" s="27" t="s">
        <v>183</v>
      </c>
      <c r="B107" s="17">
        <f>B91+B67+B38+B28+B16+J104</f>
        <v>348219225.6</v>
      </c>
      <c r="C107" s="4"/>
      <c r="D107" s="4"/>
      <c r="E107" s="64" t="s">
        <v>184</v>
      </c>
      <c r="F107" s="67">
        <v>333295.2242</v>
      </c>
      <c r="G107" s="13">
        <f>F107</f>
        <v>333295.2242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>
      <c r="A108" s="27" t="s">
        <v>185</v>
      </c>
      <c r="B108" s="17">
        <f>B107*((1+B98)+(B97+B100+B99+B101+B102+B103)/B96)</f>
        <v>1001799926</v>
      </c>
      <c r="C108" s="4"/>
      <c r="D108" s="4"/>
      <c r="E108" s="64" t="s">
        <v>186</v>
      </c>
      <c r="F108" s="68">
        <f>(2*(F107+F99)+0.5*F100)</f>
        <v>792235.7484</v>
      </c>
      <c r="G108" s="27" t="s">
        <v>187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>
      <c r="A109" s="4" t="s">
        <v>188</v>
      </c>
      <c r="B109">
        <f>M28*((1+B98)+(B97+B100+B99+B101+B102+B103)/B95)</f>
        <v>21784469.3</v>
      </c>
      <c r="C109" s="4"/>
      <c r="D109" s="4"/>
      <c r="E109" s="64" t="s">
        <v>189</v>
      </c>
      <c r="F109" s="68">
        <f>F108/0.21</f>
        <v>3772551.183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>
      <c r="A110" s="4" t="s">
        <v>190</v>
      </c>
      <c r="B110">
        <f>B109+B108</f>
        <v>1023584395</v>
      </c>
      <c r="C110" s="26" t="s">
        <v>191</v>
      </c>
      <c r="D110" s="4"/>
      <c r="E110" s="64" t="s">
        <v>192</v>
      </c>
      <c r="F110" s="68">
        <f>F109*0.78</f>
        <v>2942589.923</v>
      </c>
      <c r="G110" s="27" t="s">
        <v>193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>
      <c r="C111" s="4"/>
      <c r="D111" s="4"/>
      <c r="E111" s="64" t="s">
        <v>194</v>
      </c>
      <c r="F111" s="68">
        <f>F109*0.01</f>
        <v>37725.51183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>
      <c r="A112" s="4" t="s">
        <v>195</v>
      </c>
      <c r="B112" s="17">
        <f>B110*(1+B104)*(1+B105+B106)</f>
        <v>1862923600</v>
      </c>
      <c r="C112" s="4" t="s">
        <v>196</v>
      </c>
      <c r="D112" s="4"/>
      <c r="E112" s="64" t="s">
        <v>197</v>
      </c>
      <c r="F112" s="69">
        <f>F99+F107</f>
        <v>374348.2242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>
      <c r="A113" s="27" t="s">
        <v>198</v>
      </c>
      <c r="B113" s="17">
        <f>Y8</f>
        <v>14790.24191</v>
      </c>
      <c r="C113" s="4"/>
      <c r="D113" s="4"/>
      <c r="E113" s="27" t="s">
        <v>199</v>
      </c>
      <c r="F113" s="17">
        <f>(F99+F107)*2+F100</f>
        <v>835775.0484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>
      <c r="A114" s="1" t="s">
        <v>200</v>
      </c>
      <c r="B114" s="70">
        <f>B112</f>
        <v>1862923600</v>
      </c>
      <c r="C114" s="4"/>
      <c r="D114" s="4"/>
      <c r="E114" s="27" t="s">
        <v>201</v>
      </c>
      <c r="F114" s="17">
        <f>F110+F111+F112+F113</f>
        <v>4190438.707</v>
      </c>
      <c r="G114" s="3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>
      <c r="A115" s="27" t="s">
        <v>202</v>
      </c>
      <c r="B115" s="4">
        <f>B113-B114</f>
        <v>-1862908809</v>
      </c>
      <c r="E115" s="21" t="s">
        <v>203</v>
      </c>
      <c r="F115" s="71">
        <f>F110/F114</f>
        <v>0.7022152401</v>
      </c>
      <c r="G115" s="34"/>
    </row>
    <row r="116">
      <c r="E116" s="27" t="s">
        <v>204</v>
      </c>
      <c r="F116" s="17">
        <f>F111/F114</f>
        <v>0.009002759488</v>
      </c>
      <c r="G116" s="4"/>
    </row>
    <row r="117">
      <c r="E117" s="27" t="s">
        <v>205</v>
      </c>
      <c r="F117" s="13">
        <f>F112/F114</f>
        <v>0.08933389804</v>
      </c>
      <c r="G117" s="4"/>
    </row>
    <row r="118">
      <c r="E118" s="27" t="s">
        <v>206</v>
      </c>
      <c r="F118" s="13">
        <f>F113/F114</f>
        <v>0.1994481024</v>
      </c>
      <c r="G118" s="4"/>
    </row>
    <row r="119">
      <c r="E119" s="27" t="s">
        <v>207</v>
      </c>
      <c r="F119" s="13">
        <f>29.124</f>
        <v>29.124</v>
      </c>
      <c r="G119" s="4" t="s">
        <v>208</v>
      </c>
    </row>
    <row r="120">
      <c r="A120" s="4" t="s">
        <v>209</v>
      </c>
      <c r="B120" s="17">
        <f>F125</f>
        <v>12327.12994</v>
      </c>
      <c r="C120" s="26" t="s">
        <v>210</v>
      </c>
      <c r="D120" s="4"/>
      <c r="E120" s="27" t="s">
        <v>211</v>
      </c>
      <c r="F120" s="17">
        <f>20.786</f>
        <v>20.786</v>
      </c>
      <c r="G120" s="4"/>
    </row>
    <row r="121">
      <c r="A121" s="4" t="s">
        <v>212</v>
      </c>
      <c r="B121" s="17">
        <f>B120*0.3</f>
        <v>3698.138982</v>
      </c>
      <c r="C121" s="26" t="s">
        <v>210</v>
      </c>
      <c r="D121" s="4"/>
      <c r="E121" s="72" t="s">
        <v>213</v>
      </c>
      <c r="F121" s="73">
        <v>49.4675</v>
      </c>
      <c r="G121" s="4"/>
    </row>
    <row r="122">
      <c r="A122" s="27" t="s">
        <v>214</v>
      </c>
      <c r="B122" s="17">
        <f>I140</f>
        <v>6169.913005</v>
      </c>
      <c r="C122" s="4"/>
      <c r="D122" s="4"/>
      <c r="E122" s="27" t="s">
        <v>215</v>
      </c>
      <c r="F122" s="17">
        <v>38.247</v>
      </c>
      <c r="G122" s="4"/>
    </row>
    <row r="123">
      <c r="A123" s="4" t="s">
        <v>216</v>
      </c>
      <c r="B123" s="17">
        <f>20*10^3</f>
        <v>20000</v>
      </c>
      <c r="C123" s="4"/>
      <c r="D123" s="4"/>
      <c r="E123" s="21" t="s">
        <v>217</v>
      </c>
      <c r="F123" s="17">
        <f>(F119*F115+F120*F116+F121*F117+F122*F118)/(3600*10^3)</f>
        <v>0.000009079406718</v>
      </c>
      <c r="G123" s="4"/>
    </row>
    <row r="124">
      <c r="A124" s="27" t="s">
        <v>218</v>
      </c>
      <c r="B124" s="17">
        <f>G140</f>
        <v>23139.81928</v>
      </c>
      <c r="C124" s="4"/>
      <c r="D124" s="4"/>
      <c r="E124" s="4" t="s">
        <v>219</v>
      </c>
      <c r="F124" s="17">
        <f>F114*F123*(1033-493)</f>
        <v>20545.21657</v>
      </c>
      <c r="G124" s="27" t="s">
        <v>220</v>
      </c>
    </row>
    <row r="125">
      <c r="A125" s="27" t="s">
        <v>221</v>
      </c>
      <c r="B125" s="38">
        <v>45260.0</v>
      </c>
      <c r="C125" s="4"/>
      <c r="D125" s="4"/>
      <c r="E125" s="4" t="s">
        <v>222</v>
      </c>
      <c r="F125" s="17">
        <f>F124*0.6</f>
        <v>12327.12994</v>
      </c>
      <c r="G125" s="4"/>
    </row>
    <row r="126">
      <c r="A126" s="4" t="s">
        <v>223</v>
      </c>
      <c r="B126">
        <f>B125* 270*8.26876804/1000</f>
        <v>101045.9992</v>
      </c>
      <c r="C126" s="4"/>
      <c r="D126" s="4"/>
      <c r="E126" s="27" t="s">
        <v>224</v>
      </c>
      <c r="F126" s="17">
        <f>(G107*16)/1000</f>
        <v>5332.723587</v>
      </c>
      <c r="G126" s="4"/>
    </row>
    <row r="127">
      <c r="A127" s="26" t="s">
        <v>225</v>
      </c>
      <c r="B127" s="4">
        <f>M137</f>
        <v>9458.768341</v>
      </c>
      <c r="C127" s="4"/>
      <c r="D127" s="4"/>
      <c r="E127" s="4"/>
      <c r="F127" s="4"/>
      <c r="G127" s="4"/>
    </row>
    <row r="128">
      <c r="A128" s="4"/>
      <c r="B128" s="4"/>
      <c r="C128" s="4"/>
      <c r="D128" s="4"/>
      <c r="E128" s="13">
        <f>0</f>
        <v>0</v>
      </c>
      <c r="F128" s="13">
        <f>(F107+F99)*F102+(F100*F101)+F103+(F114*F123*(1033-298))</f>
        <v>0.000007116541383</v>
      </c>
      <c r="G128" s="4"/>
    </row>
    <row r="129">
      <c r="A129" s="4"/>
      <c r="B129" s="4"/>
      <c r="C129" s="4"/>
      <c r="D129" s="4"/>
    </row>
    <row r="130">
      <c r="A130" s="27" t="s">
        <v>226</v>
      </c>
      <c r="B130" s="17">
        <v>0.3</v>
      </c>
      <c r="C130" s="4"/>
      <c r="D130" s="4"/>
    </row>
    <row r="131">
      <c r="A131" s="27" t="s">
        <v>227</v>
      </c>
      <c r="B131" s="17">
        <f>((4.21*8.26876804)/293.297222)</f>
        <v>0.1186902256</v>
      </c>
      <c r="C131" s="4" t="s">
        <v>228</v>
      </c>
      <c r="D131" s="17">
        <f>0.3*10^3/3.6</f>
        <v>83.33333333</v>
      </c>
      <c r="F131" s="74" t="s">
        <v>229</v>
      </c>
      <c r="G131" s="75">
        <f>24.37</f>
        <v>24.37</v>
      </c>
      <c r="H131" s="4" t="s">
        <v>230</v>
      </c>
      <c r="I131" s="75">
        <f>24.37</f>
        <v>24.37</v>
      </c>
      <c r="K131" s="76" t="s">
        <v>231</v>
      </c>
      <c r="L131" s="77"/>
      <c r="M131" s="77"/>
    </row>
    <row r="132">
      <c r="A132" s="4"/>
      <c r="B132" s="4"/>
      <c r="C132" s="4" t="s">
        <v>232</v>
      </c>
      <c r="D132" s="17">
        <f>30/0.6</f>
        <v>50</v>
      </c>
      <c r="F132" s="4" t="s">
        <v>233</v>
      </c>
      <c r="G132" s="17">
        <f>1.055</f>
        <v>1.055</v>
      </c>
      <c r="H132" s="4" t="s">
        <v>234</v>
      </c>
      <c r="I132" s="17">
        <f>1.055</f>
        <v>1.055</v>
      </c>
      <c r="K132" s="78" t="s">
        <v>235</v>
      </c>
      <c r="L132" s="4"/>
      <c r="M132" s="79">
        <v>5735.0</v>
      </c>
    </row>
    <row r="133">
      <c r="F133" s="4" t="s">
        <v>236</v>
      </c>
      <c r="G133" s="80">
        <f>20000</f>
        <v>20000</v>
      </c>
      <c r="H133" s="4"/>
      <c r="I133" s="80">
        <f>F126</f>
        <v>5332.723587</v>
      </c>
      <c r="K133" s="39" t="s">
        <v>237</v>
      </c>
      <c r="L133" s="4"/>
      <c r="M133" s="81">
        <v>18.0</v>
      </c>
    </row>
    <row r="134">
      <c r="F134" s="4" t="s">
        <v>238</v>
      </c>
      <c r="G134" s="82">
        <f>F102*3600*1000</f>
        <v>-804000</v>
      </c>
      <c r="H134" s="4"/>
      <c r="I134" s="82">
        <f>$F$102*3600*1000</f>
        <v>-804000</v>
      </c>
      <c r="K134" s="78" t="s">
        <v>239</v>
      </c>
      <c r="L134" s="4"/>
      <c r="M134" s="83">
        <f>(M132*M133)/1000</f>
        <v>103.23</v>
      </c>
    </row>
    <row r="135">
      <c r="A135" s="59" t="s">
        <v>240</v>
      </c>
      <c r="B135" s="84"/>
      <c r="C135" s="4"/>
      <c r="F135" s="4" t="s">
        <v>241</v>
      </c>
      <c r="G135" s="17">
        <f>G131*(1/G132)</f>
        <v>23.09952607</v>
      </c>
      <c r="H135" s="4"/>
      <c r="I135" s="17">
        <f>I131*(1/I132)</f>
        <v>23.09952607</v>
      </c>
      <c r="K135" s="78" t="s">
        <v>242</v>
      </c>
      <c r="L135" s="4"/>
      <c r="M135" s="85">
        <f>8.76</f>
        <v>8.76</v>
      </c>
    </row>
    <row r="136">
      <c r="A136" s="4" t="s">
        <v>243</v>
      </c>
      <c r="B136" s="17">
        <f>60000*8.26876804*C136</f>
        <v>7441891.236</v>
      </c>
      <c r="C136" s="17">
        <v>15.0</v>
      </c>
      <c r="F136" s="4" t="s">
        <v>244</v>
      </c>
      <c r="G136" s="17">
        <f>12.02+(4*1.008)</f>
        <v>16.052</v>
      </c>
      <c r="H136" s="4"/>
      <c r="I136" s="17">
        <f>12.02+(4*1.008)</f>
        <v>16.052</v>
      </c>
      <c r="K136" s="4" t="s">
        <v>245</v>
      </c>
      <c r="L136" s="4"/>
      <c r="M136" s="17">
        <v>10.4598283</v>
      </c>
    </row>
    <row r="137">
      <c r="A137" s="27" t="s">
        <v>246</v>
      </c>
      <c r="B137" s="17">
        <f>0.25*B136</f>
        <v>1860472.809</v>
      </c>
      <c r="C137" s="4"/>
      <c r="F137" s="4" t="s">
        <v>247</v>
      </c>
      <c r="G137" s="80">
        <f>G133/G136</f>
        <v>1245.95066</v>
      </c>
      <c r="H137" s="4"/>
      <c r="I137" s="80">
        <f>I133/I136</f>
        <v>332.2155237</v>
      </c>
      <c r="K137" s="47" t="s">
        <v>248</v>
      </c>
      <c r="L137" s="48"/>
      <c r="M137" s="48">
        <f>M134*M135*M136</f>
        <v>9458.768341</v>
      </c>
    </row>
    <row r="138">
      <c r="A138" s="27" t="s">
        <v>249</v>
      </c>
      <c r="B138" s="17">
        <f>B136*0.4+B137</f>
        <v>4837229.303</v>
      </c>
      <c r="C138" s="4"/>
      <c r="F138" s="4" t="s">
        <v>250</v>
      </c>
      <c r="G138" s="80">
        <f>-G137*G134</f>
        <v>1001744331</v>
      </c>
      <c r="H138" s="4"/>
      <c r="I138" s="80">
        <f>-I137*I134</f>
        <v>267101281.1</v>
      </c>
    </row>
    <row r="139">
      <c r="A139" s="4" t="s">
        <v>251</v>
      </c>
      <c r="B139" s="17">
        <f>(G140+I140)*352*24</f>
        <v>247608618.4</v>
      </c>
      <c r="C139" s="4"/>
      <c r="F139" s="4" t="s">
        <v>252</v>
      </c>
      <c r="G139" s="80">
        <f>G138/1000000</f>
        <v>1001.744331</v>
      </c>
      <c r="H139" s="4"/>
      <c r="I139" s="80">
        <f>I138/1000000</f>
        <v>267.1012811</v>
      </c>
    </row>
    <row r="140">
      <c r="A140" s="4" t="s">
        <v>253</v>
      </c>
      <c r="B140" s="17">
        <f>B127*352*24</f>
        <v>79907674.94</v>
      </c>
      <c r="C140" s="4"/>
      <c r="F140" s="4" t="s">
        <v>254</v>
      </c>
      <c r="G140" s="86">
        <f>G135*G139</f>
        <v>23139.81928</v>
      </c>
      <c r="H140" s="31"/>
      <c r="I140" s="86">
        <f>I135*I139</f>
        <v>6169.913005</v>
      </c>
      <c r="J140">
        <f>G140+I140</f>
        <v>29309.73229</v>
      </c>
    </row>
    <row r="141">
      <c r="A141" s="4" t="s">
        <v>255</v>
      </c>
      <c r="B141" s="17">
        <f>G145*352*24</f>
        <v>79428096</v>
      </c>
      <c r="C141" s="4"/>
    </row>
    <row r="142">
      <c r="A142" s="4"/>
      <c r="B142" s="4"/>
      <c r="C142" s="4"/>
    </row>
    <row r="143">
      <c r="A143" s="4" t="s">
        <v>256</v>
      </c>
      <c r="B143" s="17">
        <f>B110*0.03</f>
        <v>30707531.86</v>
      </c>
      <c r="C143" s="4"/>
      <c r="F143" s="27" t="s">
        <v>257</v>
      </c>
      <c r="G143" s="4"/>
    </row>
    <row r="144">
      <c r="A144" s="4" t="s">
        <v>258</v>
      </c>
      <c r="B144" s="17">
        <f>B136+B137+B138+B139+B140+B141+B142+B143</f>
        <v>451791514.5</v>
      </c>
      <c r="C144" s="4"/>
      <c r="F144" s="27" t="s">
        <v>259</v>
      </c>
      <c r="G144" s="17">
        <f>3.134*10^4</f>
        <v>31340</v>
      </c>
    </row>
    <row r="145">
      <c r="A145" s="4"/>
      <c r="B145" s="4"/>
      <c r="C145" s="4"/>
      <c r="F145" s="43" t="s">
        <v>260</v>
      </c>
      <c r="G145" s="20">
        <f>G144*0.3</f>
        <v>9402</v>
      </c>
    </row>
    <row r="146">
      <c r="A146" s="87" t="s">
        <v>261</v>
      </c>
      <c r="B146" s="4"/>
      <c r="C146" s="4"/>
    </row>
    <row r="147">
      <c r="A147" s="4" t="s">
        <v>262</v>
      </c>
      <c r="B147" s="17">
        <f>B126*352*24</f>
        <v>853636601.3</v>
      </c>
      <c r="C147" s="4"/>
    </row>
    <row r="148">
      <c r="A148" s="4" t="s">
        <v>263</v>
      </c>
      <c r="B148" s="17">
        <f>B113*352*24</f>
        <v>124947963.6</v>
      </c>
      <c r="C148" s="4"/>
    </row>
    <row r="149">
      <c r="A149" s="4"/>
      <c r="B149" s="4"/>
      <c r="C149" s="4"/>
    </row>
    <row r="150">
      <c r="A150" s="4" t="s">
        <v>264</v>
      </c>
      <c r="B150" s="17">
        <f>B147+B148</f>
        <v>978584564.9</v>
      </c>
      <c r="C150" s="4"/>
    </row>
    <row r="151">
      <c r="A151" s="4"/>
      <c r="B151" s="4"/>
      <c r="C151" s="4"/>
    </row>
    <row r="152">
      <c r="A152" s="88" t="s">
        <v>265</v>
      </c>
      <c r="B152" s="4"/>
      <c r="C152" s="4"/>
    </row>
    <row r="153">
      <c r="A153" s="4" t="s">
        <v>266</v>
      </c>
      <c r="B153" s="17">
        <f>B110*0.01</f>
        <v>10235843.95</v>
      </c>
      <c r="C153" s="26" t="s">
        <v>267</v>
      </c>
      <c r="D153" s="17">
        <f>0.15*B122</f>
        <v>925.4869507</v>
      </c>
    </row>
    <row r="154">
      <c r="A154" s="4"/>
      <c r="B154" s="4"/>
      <c r="C154" s="4"/>
    </row>
    <row r="155">
      <c r="A155" s="89" t="s">
        <v>240</v>
      </c>
      <c r="B155" s="90"/>
      <c r="C155" s="89" t="s">
        <v>268</v>
      </c>
      <c r="D155" s="90"/>
      <c r="E155" s="89" t="s">
        <v>269</v>
      </c>
      <c r="F155" s="90"/>
      <c r="G155" s="90"/>
      <c r="H155" s="90" t="s">
        <v>261</v>
      </c>
      <c r="I155" s="90"/>
      <c r="J155" s="90" t="s">
        <v>270</v>
      </c>
      <c r="K155" s="90"/>
      <c r="L155" s="90"/>
    </row>
    <row r="156">
      <c r="A156" s="26" t="s">
        <v>271</v>
      </c>
      <c r="B156" s="17">
        <f>0.05*B114</f>
        <v>93146179.98</v>
      </c>
      <c r="C156" s="4" t="s">
        <v>251</v>
      </c>
      <c r="D156" s="17">
        <f>(B122+G140)*352*24</f>
        <v>247608618.4</v>
      </c>
      <c r="E156" s="4" t="s">
        <v>272</v>
      </c>
      <c r="F156" s="56">
        <f>60000*8.26876804*15</f>
        <v>7441891.236</v>
      </c>
      <c r="G156" s="4"/>
      <c r="H156" s="4" t="s">
        <v>273</v>
      </c>
      <c r="I156" s="17">
        <f>B126*352*24</f>
        <v>853636601.3</v>
      </c>
      <c r="J156" s="91" t="s">
        <v>274</v>
      </c>
      <c r="K156" s="17">
        <f>D161</f>
        <v>406944389.3</v>
      </c>
      <c r="L156" s="4"/>
    </row>
    <row r="157">
      <c r="A157" s="4"/>
      <c r="B157" s="4"/>
      <c r="C157" s="4" t="s">
        <v>253</v>
      </c>
      <c r="D157" s="17">
        <f>M137*352*24</f>
        <v>79907674.94</v>
      </c>
      <c r="E157" s="27" t="s">
        <v>246</v>
      </c>
      <c r="F157" s="80">
        <f>0.25*F156</f>
        <v>1860472.809</v>
      </c>
      <c r="G157" s="4"/>
      <c r="H157" s="4" t="s">
        <v>275</v>
      </c>
      <c r="I157" s="17">
        <f>B113*352*24</f>
        <v>124947963.6</v>
      </c>
      <c r="J157" s="92" t="s">
        <v>276</v>
      </c>
      <c r="K157" s="80">
        <f>F161</f>
        <v>55082969.16</v>
      </c>
      <c r="L157" s="4"/>
    </row>
    <row r="158">
      <c r="A158" s="4"/>
      <c r="B158" s="4"/>
      <c r="C158" s="4" t="s">
        <v>255</v>
      </c>
      <c r="D158" s="17">
        <f>G145*352*24</f>
        <v>79428096</v>
      </c>
      <c r="E158" s="27" t="s">
        <v>249</v>
      </c>
      <c r="F158" s="80">
        <f>F156*0.4+F157</f>
        <v>4837229.303</v>
      </c>
      <c r="G158" s="92" t="s">
        <v>277</v>
      </c>
      <c r="H158" s="4"/>
      <c r="I158" s="4"/>
      <c r="J158" s="4"/>
      <c r="K158" s="4"/>
      <c r="L158" s="4"/>
    </row>
    <row r="159">
      <c r="A159" s="4"/>
      <c r="B159" s="4"/>
      <c r="C159" s="4"/>
      <c r="D159" s="4"/>
      <c r="E159" s="4" t="s">
        <v>256</v>
      </c>
      <c r="F159" s="93">
        <f>B110*0.03</f>
        <v>30707531.86</v>
      </c>
      <c r="G159" s="92" t="s">
        <v>278</v>
      </c>
      <c r="H159" s="4"/>
      <c r="I159" s="4"/>
      <c r="J159" s="4"/>
      <c r="K159" s="4"/>
      <c r="L159" s="4"/>
    </row>
    <row r="160">
      <c r="A160" s="4"/>
      <c r="B160" s="4"/>
      <c r="C160" s="4"/>
      <c r="D160" s="4"/>
      <c r="E160" s="4" t="s">
        <v>266</v>
      </c>
      <c r="F160" s="80">
        <f>0.01*B110</f>
        <v>10235843.95</v>
      </c>
      <c r="G160" s="92" t="s">
        <v>279</v>
      </c>
      <c r="H160" s="4"/>
      <c r="I160" s="94" t="s">
        <v>280</v>
      </c>
      <c r="J160" s="4"/>
      <c r="K160" s="4"/>
      <c r="L160" s="4"/>
    </row>
    <row r="161">
      <c r="A161" s="27" t="s">
        <v>281</v>
      </c>
      <c r="B161" s="17">
        <f>B156</f>
        <v>93146179.98</v>
      </c>
      <c r="C161" s="4"/>
      <c r="D161" s="17">
        <f>sum(D156:D158)</f>
        <v>406944389.3</v>
      </c>
      <c r="E161" s="4"/>
      <c r="F161" s="80">
        <f>F156+F157+F158+F159+F160</f>
        <v>55082969.16</v>
      </c>
      <c r="G161" s="4"/>
      <c r="H161" s="4"/>
      <c r="I161" s="17">
        <f>I156+I157</f>
        <v>978584564.9</v>
      </c>
      <c r="J161" s="4"/>
      <c r="K161" s="17">
        <f>K156+K157</f>
        <v>462027358.5</v>
      </c>
      <c r="L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34"/>
      <c r="K162" s="34"/>
      <c r="L162" s="34"/>
    </row>
    <row r="163">
      <c r="A163" s="4"/>
      <c r="B163" s="4"/>
      <c r="C163" s="4"/>
      <c r="D163" s="4"/>
      <c r="E163" s="90" t="s">
        <v>282</v>
      </c>
      <c r="F163" s="90" t="s">
        <v>283</v>
      </c>
      <c r="G163" s="4"/>
      <c r="H163" s="4"/>
      <c r="I163" s="27" t="s">
        <v>284</v>
      </c>
      <c r="J163" s="95">
        <f>I161-K161</f>
        <v>516557206.4</v>
      </c>
      <c r="K163" s="34"/>
      <c r="L163" s="34"/>
    </row>
    <row r="164">
      <c r="E164" s="17">
        <f>D161+F161</f>
        <v>462027358.5</v>
      </c>
      <c r="F164" s="17">
        <f>B114</f>
        <v>1862923600</v>
      </c>
    </row>
  </sheetData>
  <hyperlinks>
    <hyperlink r:id="rId1" ref="Y14"/>
  </hyperlinks>
  <drawing r:id="rId2"/>
</worksheet>
</file>