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1" sheetId="1" r:id="rId3"/>
  </sheets>
  <definedNames/>
  <calcPr/>
</workbook>
</file>

<file path=xl/sharedStrings.xml><?xml version="1.0" encoding="utf-8"?>
<sst xmlns="http://schemas.openxmlformats.org/spreadsheetml/2006/main" count="357" uniqueCount="287">
  <si>
    <t>COSTS</t>
  </si>
  <si>
    <t>Exergy</t>
  </si>
  <si>
    <t>Enhet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</si>
  <si>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</si>
  <si>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</si>
  <si>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</si>
  <si>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</si>
  <si>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</si>
  <si>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</si>
  <si>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</si>
  <si>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</si>
  <si>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</si>
  <si>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</si>
  <si>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</si>
  <si>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</si>
  <si>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</si>
  <si>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</si>
  <si>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</si>
  <si>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</si>
  <si>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</si>
  <si>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</si>
  <si>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</si>
  <si>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</si>
  <si>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</si>
  <si>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R-1</t>
  </si>
  <si>
    <t>SUM</t>
  </si>
  <si>
    <t>US$(2007) to NOK(2016)</t>
  </si>
  <si>
    <t>T_in</t>
  </si>
  <si>
    <t>T_out</t>
  </si>
  <si>
    <t>n_carnot</t>
  </si>
  <si>
    <t>Duty
[kWh=kJ/3600h]</t>
  </si>
  <si>
    <t>Electricty</t>
  </si>
  <si>
    <t>Price</t>
  </si>
  <si>
    <t>Compressors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</si>
  <si>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</si>
  <si>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</si>
  <si>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</si>
  <si>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</si>
  <si>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</si>
  <si>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</si>
  <si>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</si>
  <si>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</si>
  <si>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</si>
  <si>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K-13</t>
  </si>
  <si>
    <t>sum</t>
  </si>
  <si>
    <t>centrifugal [kW]</t>
  </si>
  <si>
    <t>Duty[kW]</t>
  </si>
  <si>
    <t>KILDE</t>
  </si>
  <si>
    <t>a</t>
  </si>
  <si>
    <t>Duty[kJ/h]</t>
  </si>
  <si>
    <t>Index 2016</t>
  </si>
  <si>
    <t>http://www.chemengonline.com/current-economic-trends-march-2016/</t>
  </si>
  <si>
    <t>b</t>
  </si>
  <si>
    <t>omgjøring fra duty til elektrisitet</t>
  </si>
  <si>
    <t>https://en.wikipedia.org/wiki/Energy_conversion_efficiency</t>
  </si>
  <si>
    <t>n</t>
  </si>
  <si>
    <t>rho_ss304</t>
  </si>
  <si>
    <t>http://www.aksteel.com/pdf/markets_products/stainless/austenitic/304_304l_data_sheet.pdf</t>
  </si>
  <si>
    <t>C_e</t>
  </si>
  <si>
    <t>Cost[NOK](2016)</t>
  </si>
  <si>
    <t>Cost[US$](2007)</t>
  </si>
  <si>
    <t>Stainless steal 304 factor</t>
  </si>
  <si>
    <t>Reactors</t>
  </si>
  <si>
    <t>R-2</t>
  </si>
  <si>
    <t>R-3</t>
  </si>
  <si>
    <t>R-4</t>
  </si>
  <si>
    <t>R-5</t>
  </si>
  <si>
    <t>R-6</t>
  </si>
  <si>
    <t>tau [s]</t>
  </si>
  <si>
    <t>void fraction</t>
  </si>
  <si>
    <t>SUM R1</t>
  </si>
  <si>
    <t>delta(l)</t>
  </si>
  <si>
    <t>delta(N)</t>
  </si>
  <si>
    <t>Vo_flow [m^3/s]</t>
  </si>
  <si>
    <t>V_outer</t>
  </si>
  <si>
    <t>delta(l_100%)</t>
  </si>
  <si>
    <t>delta(N_min)</t>
  </si>
  <si>
    <t>Vo [m^3]</t>
  </si>
  <si>
    <t>V_inner</t>
  </si>
  <si>
    <t>delta(l)/delta(l_100%)</t>
  </si>
  <si>
    <t>V_flow [m^3/s]</t>
  </si>
  <si>
    <t>V_wall</t>
  </si>
  <si>
    <t xml:space="preserve">delta(d) </t>
  </si>
  <si>
    <t>V [m^3]</t>
  </si>
  <si>
    <t>Tubes</t>
  </si>
  <si>
    <t>Ratio V1_flow FrontPressure vs Standard</t>
  </si>
  <si>
    <t>delta(t_w)</t>
  </si>
  <si>
    <t>d</t>
  </si>
  <si>
    <t>delta(d_min)</t>
  </si>
  <si>
    <t>t_w</t>
  </si>
  <si>
    <t>delta(t_w_min)</t>
  </si>
  <si>
    <t xml:space="preserve">l </t>
  </si>
  <si>
    <t>Ratio*V_all_tubes</t>
  </si>
  <si>
    <t>V_all_tubes</t>
  </si>
  <si>
    <t>Cost u/R1
US$](2007)</t>
  </si>
  <si>
    <t>fm(Ni Inconel)/fm(ss)</t>
  </si>
  <si>
    <t>Exchangers</t>
  </si>
  <si>
    <t>SUM Ce</t>
  </si>
  <si>
    <t>U
[W/m^2K]</t>
  </si>
  <si>
    <t>Q
[W]</t>
  </si>
  <si>
    <t>HAR BARE ANTATT AT U LIGGER MELLOM 350-450</t>
  </si>
  <si>
    <t>DelT</t>
  </si>
  <si>
    <t>Shell and tube [m^2]</t>
  </si>
  <si>
    <t>Separators</t>
  </si>
  <si>
    <t>V-1</t>
  </si>
  <si>
    <t>V-2</t>
  </si>
  <si>
    <t>V-3</t>
  </si>
  <si>
    <t>V-4</t>
  </si>
  <si>
    <t>V-5</t>
  </si>
  <si>
    <t>V-6</t>
  </si>
  <si>
    <t>V-7</t>
  </si>
  <si>
    <t>V-8</t>
  </si>
  <si>
    <t>rho_L [kg/m^3]</t>
  </si>
  <si>
    <t>rho_v  [kg/m^3]</t>
  </si>
  <si>
    <t>u_t [m/s]</t>
  </si>
  <si>
    <t>Vv [m^3/s]</t>
  </si>
  <si>
    <t>FOR V-3 ANTAS DET BEREGNINGER UTEN VÆSKE DEL</t>
  </si>
  <si>
    <t>Dv [m]</t>
  </si>
  <si>
    <t>Dv(ft round up)</t>
  </si>
  <si>
    <t>NY Dv [m]</t>
  </si>
  <si>
    <t>V_L [m^3/s]</t>
  </si>
  <si>
    <t>Det er ingen væskestrøm, men antar kolonna beregnes uten volum av liquid</t>
  </si>
  <si>
    <t>Hold up time [s]</t>
  </si>
  <si>
    <t>Volume held in vessel [m^3]</t>
  </si>
  <si>
    <t>h_v</t>
  </si>
  <si>
    <t>h_tot</t>
  </si>
  <si>
    <t>P_operating</t>
  </si>
  <si>
    <t>P_design [N/m^2]</t>
  </si>
  <si>
    <t>SE (shear stress SS 304)</t>
  </si>
  <si>
    <t>t_w (m)</t>
  </si>
  <si>
    <t>rho (stainless steel 304)</t>
  </si>
  <si>
    <t>Shellmass</t>
  </si>
  <si>
    <t>C_e [$  USGC 2007]</t>
  </si>
  <si>
    <t>Absorber</t>
  </si>
  <si>
    <t>C-1</t>
  </si>
  <si>
    <t>C-2</t>
  </si>
  <si>
    <t>C-3</t>
  </si>
  <si>
    <t>C-4</t>
  </si>
  <si>
    <t>sievetrays</t>
  </si>
  <si>
    <t>diameter [m]</t>
  </si>
  <si>
    <t>C_e [$ 2007]</t>
  </si>
  <si>
    <t>t_w[m]</t>
  </si>
  <si>
    <t>V_sylinder [m^3]</t>
  </si>
  <si>
    <t>h_sylinder [m]</t>
  </si>
  <si>
    <t>ANTATT (15 TRINN PÅ 0.5M + ca 2m til)</t>
  </si>
  <si>
    <t>V_vegg[m^3]</t>
  </si>
  <si>
    <t>V_ToppBunn [m^3]</t>
  </si>
  <si>
    <t>V_tot_steel [m^3]</t>
  </si>
  <si>
    <t>rho_stainlesssteal 8.03 g/cm^3 --&gt; [kg/m^3]</t>
  </si>
  <si>
    <t>pressure vessel, vertical 304 ss [kg]</t>
  </si>
  <si>
    <t>C_e [$2007]</t>
  </si>
  <si>
    <t>P_design[Pa]</t>
  </si>
  <si>
    <t>PUMPS</t>
  </si>
  <si>
    <t>P-1</t>
  </si>
  <si>
    <t>P-2</t>
  </si>
  <si>
    <t>P-3</t>
  </si>
  <si>
    <t>P-4</t>
  </si>
  <si>
    <t>single-stage sentrifugal, flow [L/s]</t>
  </si>
  <si>
    <t>f_m(Ni Inconel)</t>
  </si>
  <si>
    <t>f_m(ss)</t>
  </si>
  <si>
    <t>Methane recycle costs</t>
  </si>
  <si>
    <t>Cost</t>
  </si>
  <si>
    <t>f_er</t>
  </si>
  <si>
    <t>f_p</t>
  </si>
  <si>
    <t>C_e [$]</t>
  </si>
  <si>
    <t>f_i</t>
  </si>
  <si>
    <t>Mol CH4 [mol/h]</t>
  </si>
  <si>
    <t>fra hysys</t>
  </si>
  <si>
    <t>Explosion proof motor, power [kW]</t>
  </si>
  <si>
    <t>f_el</t>
  </si>
  <si>
    <t>Mol H2 [mol/h]</t>
  </si>
  <si>
    <t>f_c</t>
  </si>
  <si>
    <t>dHrx(H2) (kWh/mol H2)</t>
  </si>
  <si>
    <t>f_s</t>
  </si>
  <si>
    <t>dHrx(CH4) (kWh/mol CH4)</t>
  </si>
  <si>
    <t>f_l</t>
  </si>
  <si>
    <t>Duty R1 [kWh/h] heat energy</t>
  </si>
  <si>
    <t>OS</t>
  </si>
  <si>
    <t>Energy from CH4 purge [kJ/h = 1/3600 kWh/h]</t>
  </si>
  <si>
    <t>D&amp;E</t>
  </si>
  <si>
    <t>Energy from H2 purge [kJ/h = 1/3600 kWh/h]</t>
  </si>
  <si>
    <t>X</t>
  </si>
  <si>
    <t>Required energy from Methane [kWh/h]</t>
  </si>
  <si>
    <t>C_ei_A</t>
  </si>
  <si>
    <t xml:space="preserve">n_CH4 [mol/h] </t>
  </si>
  <si>
    <t>C u/R1</t>
  </si>
  <si>
    <t>n_O2 [mol/h]</t>
  </si>
  <si>
    <t>beregnet mengde o2 som trengs</t>
  </si>
  <si>
    <t>C R1</t>
  </si>
  <si>
    <t>Mengde luft [mol/h]</t>
  </si>
  <si>
    <t>C</t>
  </si>
  <si>
    <t>ISBL</t>
  </si>
  <si>
    <t>n_N2 [mol/h]</t>
  </si>
  <si>
    <t>Røykgass består av N2,Ar,CO2,H20</t>
  </si>
  <si>
    <t>n_Ar [mol/h]</t>
  </si>
  <si>
    <t>Tot cap cost</t>
  </si>
  <si>
    <t>n_CO2 [mol/h]</t>
  </si>
  <si>
    <t>C_exergy</t>
  </si>
  <si>
    <t>cost exergy-tot_cap_cost</t>
  </si>
  <si>
    <t>n_H20 [mol/h]</t>
  </si>
  <si>
    <t>C_cap(2016)</t>
  </si>
  <si>
    <t>n_tot_fluegas [mol/h]</t>
  </si>
  <si>
    <t>C_tot(2016)</t>
  </si>
  <si>
    <t>x_N2</t>
  </si>
  <si>
    <t>x_Ar</t>
  </si>
  <si>
    <t>x_CO2</t>
  </si>
  <si>
    <t>x_H2O</t>
  </si>
  <si>
    <t>Cp_N2 [J/K*mol]</t>
  </si>
  <si>
    <t>Har funnet Cp for tempratur mellom Tinn=760 og Tut=220</t>
  </si>
  <si>
    <t>Energy extra from R1[kWh]</t>
  </si>
  <si>
    <t>tull</t>
  </si>
  <si>
    <t>Cp_Ar [J/K*mol]</t>
  </si>
  <si>
    <t>Cost of extra energy R1 [NOK/h]</t>
  </si>
  <si>
    <t>Cp_CO2 [J/K*mol]</t>
  </si>
  <si>
    <t>Price for extra methane [NOK/h]</t>
  </si>
  <si>
    <t>Cp_H20 [J/K*mol]</t>
  </si>
  <si>
    <t>Feed Naturgas [kg/h]</t>
  </si>
  <si>
    <t>Cp_avg [kWh/K*mol]</t>
  </si>
  <si>
    <t>Cost of Feed Naturgas [NOK/h]</t>
  </si>
  <si>
    <t>E=nCPdT [kWh]</t>
  </si>
  <si>
    <t xml:space="preserve">energien fluegas </t>
  </si>
  <si>
    <t>Amount of Product NH3 [kg/h]</t>
  </si>
  <si>
    <t>Electricty [kWh/h]</t>
  </si>
  <si>
    <t>Cost Product [NOK/H]</t>
  </si>
  <si>
    <t>kg(CH4)/h excess</t>
  </si>
  <si>
    <t>Cost steam [NOK/h]</t>
  </si>
  <si>
    <t>Electricity price[NOK/kWh]</t>
  </si>
  <si>
    <t>Cost of CH4 [kJ/h]</t>
  </si>
  <si>
    <t>electricity price</t>
  </si>
  <si>
    <t>Natural Gas Price (NOK / Million Metric British Thermal Unit)</t>
  </si>
  <si>
    <t>per 2016 sept</t>
  </si>
  <si>
    <t>Steam production cost calculation</t>
  </si>
  <si>
    <t>price CH4</t>
  </si>
  <si>
    <t>1 BTU</t>
  </si>
  <si>
    <t>GJ</t>
  </si>
  <si>
    <t>Molar flow steam[kmol/h]
</t>
  </si>
  <si>
    <t>feed [kg/h]</t>
  </si>
  <si>
    <t>Molar mass H2O[kg/kmol]</t>
  </si>
  <si>
    <t>dHrx_CH4 [kJ/kmol]</t>
  </si>
  <si>
    <t>Mass flow steam[ton/h]
</t>
  </si>
  <si>
    <t>Working capital</t>
  </si>
  <si>
    <t>price natural gas [NOK/GJ]</t>
  </si>
  <si>
    <t>Price MP steam[£/ton]
</t>
  </si>
  <si>
    <t>salary operators</t>
  </si>
  <si>
    <t>Mm_CH4 [kg/kmol]</t>
  </si>
  <si>
    <t>NOK/£(13:37 15.11.2016)</t>
  </si>
  <si>
    <t>supervision</t>
  </si>
  <si>
    <t>føde [kmol/h]</t>
  </si>
  <si>
    <t>Cost of producing steam[NOK/h]</t>
  </si>
  <si>
    <t>direct salary overhead</t>
  </si>
  <si>
    <t>feed [kJ/h]</t>
  </si>
  <si>
    <t>cost CH4 [NOK/year]</t>
  </si>
  <si>
    <t>feed [GJ/h]</t>
  </si>
  <si>
    <t>cost of steam [NOK/year]</t>
  </si>
  <si>
    <t>Price CH4 [NOK/h]</t>
  </si>
  <si>
    <t>compressor costs
[NOK/year]</t>
  </si>
  <si>
    <t>Rent of land</t>
  </si>
  <si>
    <t>assuming we buy the land so the cost is recovered at the end of the projects life</t>
  </si>
  <si>
    <t>eiendomsskatt</t>
  </si>
  <si>
    <t xml:space="preserve">Compressor costs </t>
  </si>
  <si>
    <t>SUM [NOK/h]</t>
  </si>
  <si>
    <t>total duty [kW] = [kWh/h]</t>
  </si>
  <si>
    <t>Cost [NOK/h]</t>
  </si>
  <si>
    <t>annual sale income [NOK/year]</t>
  </si>
  <si>
    <t>product</t>
  </si>
  <si>
    <t>exergy</t>
  </si>
  <si>
    <t>annual service expences</t>
  </si>
  <si>
    <t>vedlikehold</t>
  </si>
  <si>
    <t>1% av ISBL</t>
  </si>
  <si>
    <t>Variable costs</t>
  </si>
  <si>
    <t>Fixed costs of production</t>
  </si>
  <si>
    <t>annual expences</t>
  </si>
  <si>
    <t>5-30% av fixed capital investment</t>
  </si>
  <si>
    <t>salary operators (15 operators)</t>
  </si>
  <si>
    <t>product [NOK/year]</t>
  </si>
  <si>
    <t>variable</t>
  </si>
  <si>
    <t>exergy [NOK/year]</t>
  </si>
  <si>
    <t>fixed</t>
  </si>
  <si>
    <t>compressor costs</t>
  </si>
  <si>
    <t>40-60% av operating labour+supervision</t>
  </si>
  <si>
    <t>3-5%ISBL</t>
  </si>
  <si>
    <t>1-2%ISBL fixed cap</t>
  </si>
  <si>
    <t>Annual sales income</t>
  </si>
  <si>
    <t>SUMv[NOK/year]</t>
  </si>
  <si>
    <t>Annual service expenses</t>
  </si>
  <si>
    <t>Investment</t>
  </si>
  <si>
    <t>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</si>
</sst>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2.0"/>
      <color rgb="FF000000"/>
      <name val="Calibri"/>
    </font>
    <font>
      <b/>
      <sz val="12.0"/>
      <color rgb="FF000000"/>
      <name val="Calibri"/>
    </font>
    <font>
      <name val="Arial"/>
    </font>
    <font>
      <name val="Calibri"/>
    </font>
    <font>
      <color rgb="FF000000"/>
      <name val="Calibri"/>
    </font>
    <font/>
    <font>
      <sz val="11.0"/>
      <color rgb="FF000000"/>
      <name val="Inconsolata"/>
    </font>
    <font>
      <sz val="11.0"/>
      <color rgb="FF000000"/>
      <name val="Calibri"/>
    </font>
    <font>
      <u/>
      <sz val="12.0"/>
      <color rgb="FF000000"/>
      <name val="Calibri"/>
    </font>
    <font>
      <u/>
      <color rgb="FF0000FF"/>
    </font>
    <font>
      <u/>
      <sz val="12.0"/>
      <color rgb="FF000000"/>
      <name val="Calibri"/>
    </font>
    <font>
      <b/>
    </font>
    <font>
      <b/>
      <sz val="11.0"/>
      <color rgb="FF333333"/>
      <name val="Helvetica Neue"/>
    </font>
    <font>
      <sz val="11.0"/>
      <color rgb="FF333333"/>
      <name val="Helvetica Neue"/>
    </font>
    <font>
      <sz val="12.0"/>
      <name val="Calibri"/>
    </font>
    <font>
      <u/>
      <sz val="12.0"/>
      <name val="Calibri"/>
    </font>
    <font>
      <sz val="11.0"/>
      <name val="Inconsolata"/>
    </font>
    <font>
      <sz val="11.0"/>
      <color rgb="FFF7981D"/>
      <name val="Inconsolata"/>
    </font>
  </fonts>
  <fills count="14">
    <fill>
      <patternFill patternType="none"/>
    </fill>
    <fill>
      <patternFill patternType="lightGray"/>
    </fill>
    <fill>
      <patternFill patternType="solid">
        <fgColor rgb="FFE5B8B7"/>
        <bgColor rgb="FFE5B8B7"/>
      </patternFill>
    </fill>
    <fill>
      <patternFill patternType="solid">
        <fgColor rgb="FFE6B8AF"/>
        <bgColor rgb="FFE6B8AF"/>
      </patternFill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rgb="FF00FF00"/>
        <bgColor rgb="FF00FF00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E5ECF9"/>
        <bgColor rgb="FFE5ECF9"/>
      </patternFill>
    </fill>
    <fill>
      <patternFill patternType="solid">
        <fgColor rgb="FFEFEFEF"/>
        <bgColor rgb="FFEFEFEF"/>
      </patternFill>
    </fill>
    <fill>
      <patternFill patternType="solid">
        <fgColor rgb="FFFF00FF"/>
        <bgColor rgb="FFFF00FF"/>
      </patternFill>
    </fill>
    <fill>
      <patternFill patternType="solid">
        <fgColor rgb="FFF6B26B"/>
        <bgColor rgb="FFF6B26B"/>
      </patternFill>
    </fill>
  </fills>
  <borders count="9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/>
    </xf>
    <xf borderId="0" fillId="0" fontId="1" numFmtId="0" xfId="0" applyFont="1"/>
    <xf borderId="0" fillId="0" fontId="0" numFmtId="0" xfId="0" applyFont="1"/>
    <xf borderId="0" fillId="0" fontId="2" numFmtId="0" xfId="0" applyAlignment="1" applyBorder="1" applyFont="1">
      <alignment/>
    </xf>
    <xf borderId="0" fillId="0" fontId="2" numFmtId="0" xfId="0" applyAlignment="1" applyFont="1">
      <alignment/>
    </xf>
    <xf borderId="0" fillId="2" fontId="0" numFmtId="0" xfId="0" applyBorder="1" applyFill="1" applyFont="1"/>
    <xf borderId="0" fillId="2" fontId="0" numFmtId="0" xfId="0" applyAlignment="1" applyBorder="1" applyFont="1">
      <alignment/>
    </xf>
    <xf borderId="0" fillId="3" fontId="2" numFmtId="0" xfId="0" applyAlignment="1" applyFill="1" applyFont="1">
      <alignment/>
    </xf>
    <xf borderId="0" fillId="3" fontId="3" numFmtId="0" xfId="0" applyAlignment="1" applyBorder="1" applyFont="1">
      <alignment/>
    </xf>
    <xf borderId="0" fillId="2" fontId="3" numFmtId="0" xfId="0" applyAlignment="1" applyBorder="1" applyFont="1">
      <alignment/>
    </xf>
    <xf borderId="0" fillId="4" fontId="4" numFmtId="0" xfId="0" applyAlignment="1" applyBorder="1" applyFill="1" applyFont="1">
      <alignment/>
    </xf>
    <xf borderId="0" fillId="5" fontId="0" numFmtId="0" xfId="0" applyBorder="1" applyFill="1" applyFont="1"/>
    <xf borderId="0" fillId="0" fontId="5" numFmtId="0" xfId="0" applyAlignment="1" applyFont="1">
      <alignment/>
    </xf>
    <xf borderId="0" fillId="4" fontId="6" numFmtId="0" xfId="0" applyAlignment="1" applyFont="1">
      <alignment horizontal="right"/>
    </xf>
    <xf borderId="0" fillId="5" fontId="0" numFmtId="0" xfId="0" applyAlignment="1" applyBorder="1" applyFont="1">
      <alignment/>
    </xf>
    <xf borderId="0" fillId="0" fontId="0" numFmtId="0" xfId="0" applyAlignment="1" applyFont="1">
      <alignment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6" fontId="0" numFmtId="0" xfId="0" applyBorder="1" applyFill="1" applyFont="1"/>
    <xf borderId="0" fillId="6" fontId="5" numFmtId="0" xfId="0" applyFont="1"/>
    <xf borderId="0" fillId="0" fontId="8" numFmtId="0" xfId="0" applyFont="1"/>
    <xf borderId="1" fillId="0" fontId="0" numFmtId="0" xfId="0" applyBorder="1" applyFont="1"/>
    <xf borderId="2" fillId="0" fontId="0" numFmtId="0" xfId="0" applyBorder="1" applyFont="1"/>
    <xf borderId="3" fillId="0" fontId="5" numFmtId="0" xfId="0" applyAlignment="1" applyBorder="1" applyFont="1">
      <alignment/>
    </xf>
    <xf borderId="0" fillId="0" fontId="7" numFmtId="0" xfId="0" applyAlignment="1" applyFont="1">
      <alignment/>
    </xf>
    <xf borderId="0" fillId="0" fontId="9" numFmtId="0" xfId="0" applyAlignment="1" applyFont="1">
      <alignment/>
    </xf>
    <xf borderId="0" fillId="0" fontId="0" numFmtId="0" xfId="0" applyFont="1"/>
    <xf borderId="0" fillId="6" fontId="5" numFmtId="0" xfId="0" applyAlignment="1" applyFont="1">
      <alignment/>
    </xf>
    <xf borderId="4" fillId="7" fontId="0" numFmtId="0" xfId="0" applyAlignment="1" applyBorder="1" applyFill="1" applyFont="1">
      <alignment/>
    </xf>
    <xf borderId="4" fillId="7" fontId="5" numFmtId="0" xfId="0" applyBorder="1" applyFont="1"/>
    <xf borderId="5" fillId="0" fontId="3" numFmtId="0" xfId="0" applyAlignment="1" applyBorder="1" applyFont="1">
      <alignment/>
    </xf>
    <xf borderId="2" fillId="0" fontId="0" numFmtId="0" xfId="0" applyAlignment="1" applyBorder="1" applyFont="1">
      <alignment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0" fillId="0" fontId="3" numFmtId="0" xfId="0" applyAlignment="1" applyFont="1">
      <alignment/>
    </xf>
    <xf borderId="0" fillId="0" fontId="0" numFmtId="0" xfId="0" applyAlignment="1" applyFont="1">
      <alignment horizontal="right"/>
    </xf>
    <xf borderId="0" fillId="8" fontId="6" numFmtId="0" xfId="0" applyAlignment="1" applyFill="1" applyFont="1">
      <alignment/>
    </xf>
    <xf borderId="0" fillId="0" fontId="6" numFmtId="0" xfId="0" applyAlignment="1" applyFont="1">
      <alignment horizontal="right"/>
    </xf>
    <xf borderId="4" fillId="7" fontId="0" numFmtId="0" xfId="0" applyAlignment="1" applyBorder="1" applyFont="1">
      <alignment/>
    </xf>
    <xf borderId="4" fillId="8" fontId="6" numFmtId="0" xfId="0" applyAlignment="1" applyBorder="1" applyFont="1">
      <alignment/>
    </xf>
    <xf borderId="4" fillId="0" fontId="3" numFmtId="0" xfId="0" applyAlignment="1" applyBorder="1" applyFont="1">
      <alignment horizontal="right"/>
    </xf>
    <xf borderId="4" fillId="7" fontId="3" numFmtId="0" xfId="0" applyAlignment="1" applyBorder="1" applyFont="1">
      <alignment horizontal="right"/>
    </xf>
    <xf borderId="0" fillId="7" fontId="5" numFmtId="0" xfId="0" applyAlignment="1" applyFont="1">
      <alignment/>
    </xf>
    <xf borderId="6" fillId="0" fontId="0" numFmtId="0" xfId="0" applyBorder="1" applyFont="1"/>
    <xf borderId="0" fillId="6" fontId="0" numFmtId="0" xfId="0" applyFont="1"/>
    <xf borderId="0" fillId="8" fontId="0" numFmtId="0" xfId="0" applyAlignment="1" applyFont="1">
      <alignment horizontal="left"/>
    </xf>
    <xf borderId="0" fillId="0" fontId="3" numFmtId="0" xfId="0" applyAlignment="1" applyFont="1">
      <alignment horizontal="right"/>
    </xf>
    <xf borderId="0" fillId="0" fontId="0" numFmtId="0" xfId="0" applyAlignment="1" applyFont="1">
      <alignment/>
    </xf>
    <xf borderId="4" fillId="7" fontId="0" numFmtId="0" xfId="0" applyAlignment="1" applyBorder="1" applyFont="1">
      <alignment/>
    </xf>
    <xf borderId="7" fillId="0" fontId="0" numFmtId="0" xfId="0" applyAlignment="1" applyBorder="1" applyFont="1">
      <alignment/>
    </xf>
    <xf borderId="4" fillId="0" fontId="2" numFmtId="0" xfId="0" applyAlignment="1" applyBorder="1" applyFont="1">
      <alignment/>
    </xf>
    <xf borderId="4" fillId="0" fontId="0" numFmtId="0" xfId="0" applyAlignment="1" applyBorder="1" applyFont="1">
      <alignment/>
    </xf>
    <xf borderId="8" fillId="0" fontId="0" numFmtId="0" xfId="0" applyAlignment="1" applyBorder="1" applyFont="1">
      <alignment/>
    </xf>
    <xf borderId="0" fillId="0" fontId="0" numFmtId="0" xfId="0" applyAlignment="1" applyFont="1">
      <alignment/>
    </xf>
    <xf borderId="0" fillId="0" fontId="0" numFmtId="0" xfId="0" applyAlignment="1" applyFont="1">
      <alignment horizontal="right"/>
    </xf>
    <xf borderId="0" fillId="0" fontId="10" numFmtId="0" xfId="0" applyAlignment="1" applyFont="1">
      <alignment/>
    </xf>
    <xf borderId="0" fillId="8" fontId="0" numFmtId="0" xfId="0" applyAlignment="1" applyFont="1">
      <alignment horizontal="left"/>
    </xf>
    <xf borderId="0" fillId="0" fontId="2" numFmtId="0" xfId="0" applyAlignment="1" applyFont="1">
      <alignment/>
    </xf>
    <xf borderId="0" fillId="8" fontId="6" numFmtId="0" xfId="0" applyAlignment="1" applyFont="1">
      <alignment horizontal="right"/>
    </xf>
    <xf borderId="0" fillId="8" fontId="6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0" fontId="0" numFmtId="0" xfId="0" applyAlignment="1" applyFont="1">
      <alignment horizontal="right"/>
    </xf>
    <xf borderId="0" fillId="7" fontId="0" numFmtId="0" xfId="0" applyAlignment="1" applyFont="1">
      <alignment/>
    </xf>
    <xf borderId="0" fillId="7" fontId="3" numFmtId="0" xfId="0" applyAlignment="1" applyFont="1">
      <alignment horizontal="right"/>
    </xf>
    <xf borderId="4" fillId="0" fontId="3" numFmtId="0" xfId="0" applyAlignment="1" applyBorder="1" applyFont="1">
      <alignment/>
    </xf>
    <xf borderId="0" fillId="9" fontId="0" numFmtId="0" xfId="0" applyAlignment="1" applyFill="1" applyFont="1">
      <alignment/>
    </xf>
    <xf borderId="0" fillId="0" fontId="6" numFmtId="0" xfId="0" applyAlignment="1" applyFont="1">
      <alignment/>
    </xf>
    <xf borderId="0" fillId="7" fontId="3" numFmtId="0" xfId="0" applyAlignment="1" applyFont="1">
      <alignment/>
    </xf>
    <xf borderId="0" fillId="0" fontId="1" numFmtId="0" xfId="0" applyAlignment="1" applyFont="1">
      <alignment/>
    </xf>
    <xf borderId="0" fillId="0" fontId="0" numFmtId="0" xfId="0" applyAlignment="1" applyFont="1">
      <alignment/>
    </xf>
    <xf borderId="0" fillId="0" fontId="0" numFmtId="0" xfId="0" applyAlignment="1" applyFont="1">
      <alignment horizontal="right"/>
    </xf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1" numFmtId="0" xfId="0" applyFont="1"/>
    <xf borderId="0" fillId="0" fontId="3" numFmtId="0" xfId="0" applyAlignment="1" applyFont="1">
      <alignment/>
    </xf>
    <xf borderId="0" fillId="10" fontId="12" numFmtId="0" xfId="0" applyAlignment="1" applyFill="1" applyFont="1">
      <alignment horizontal="left"/>
    </xf>
    <xf borderId="0" fillId="11" fontId="13" numFmtId="0" xfId="0" applyAlignment="1" applyFill="1" applyFont="1">
      <alignment horizontal="right"/>
    </xf>
    <xf borderId="0" fillId="12" fontId="2" numFmtId="0" xfId="0" applyAlignment="1" applyFill="1" applyFont="1">
      <alignment/>
    </xf>
    <xf borderId="0" fillId="0" fontId="2" numFmtId="0" xfId="0" applyAlignment="1" applyFont="1">
      <alignment horizontal="right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/>
    </xf>
    <xf borderId="0" fillId="0" fontId="2" numFmtId="0" xfId="0" applyAlignment="1" applyFont="1">
      <alignment/>
    </xf>
    <xf borderId="0" fillId="9" fontId="3" numFmtId="0" xfId="0" applyAlignment="1" applyFont="1">
      <alignment/>
    </xf>
    <xf borderId="0" fillId="0" fontId="2" numFmtId="0" xfId="0" applyAlignment="1" applyFont="1">
      <alignment horizontal="right"/>
    </xf>
    <xf borderId="0" fillId="6" fontId="2" numFmtId="0" xfId="0" applyAlignment="1" applyFont="1">
      <alignment/>
    </xf>
    <xf borderId="0" fillId="6" fontId="2" numFmtId="0" xfId="0" applyAlignment="1" applyFont="1">
      <alignment horizontal="right"/>
    </xf>
    <xf borderId="0" fillId="6" fontId="14" numFmtId="0" xfId="0" applyAlignment="1" applyFont="1">
      <alignment horizontal="right"/>
    </xf>
    <xf borderId="0" fillId="6" fontId="3" numFmtId="0" xfId="0" applyAlignment="1" applyFont="1">
      <alignment/>
    </xf>
    <xf borderId="0" fillId="6" fontId="0" numFmtId="0" xfId="0" applyAlignment="1" applyFont="1">
      <alignment/>
    </xf>
    <xf borderId="0" fillId="6" fontId="3" numFmtId="0" xfId="0" applyAlignment="1" applyFont="1">
      <alignment horizontal="right"/>
    </xf>
    <xf borderId="0" fillId="13" fontId="3" numFmtId="0" xfId="0" applyAlignment="1" applyFill="1" applyFont="1">
      <alignment/>
    </xf>
    <xf borderId="0" fillId="13" fontId="0" numFmtId="0" xfId="0" applyAlignment="1" applyFont="1">
      <alignment/>
    </xf>
    <xf borderId="0" fillId="12" fontId="4" numFmtId="0" xfId="0" applyAlignment="1" applyFont="1">
      <alignment/>
    </xf>
    <xf borderId="0" fillId="12" fontId="3" numFmtId="0" xfId="0" applyAlignment="1" applyFont="1">
      <alignment/>
    </xf>
    <xf borderId="0" fillId="8" fontId="16" numFmtId="0" xfId="0" applyAlignment="1" applyFont="1">
      <alignment/>
    </xf>
    <xf borderId="0" fillId="0" fontId="14" numFmtId="0" xfId="0" applyAlignment="1" applyFont="1">
      <alignment/>
    </xf>
    <xf borderId="0" fillId="8" fontId="17" numFmtId="0" xfId="0" applyAlignment="1" applyFont="1">
      <alignment horizontal="right"/>
    </xf>
    <xf borderId="0" fillId="12" fontId="3" numFmtId="0" xfId="0" applyAlignment="1" applyFont="1">
      <alignment/>
    </xf>
    <xf borderId="8" fillId="0" fontId="0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aksteel.com/pdf/markets_products/stainless/austenitic/304_304l_data_sheet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26.11"/>
    <col customWidth="1" min="2" max="10" width="10.56"/>
    <col customWidth="1" min="11" max="11" width="18.67"/>
    <col customWidth="1" min="12" max="56" width="10.56"/>
  </cols>
  <sheetData>
    <row r="1">
      <c r="A1" s="1" t="s">
        <v>0</v>
      </c>
      <c r="B1" s="2" t="s">
        <v>1</v>
      </c>
      <c r="K1" s="2"/>
      <c r="Z1" s="3"/>
      <c r="AA1" s="3"/>
      <c r="AB1" s="3"/>
      <c r="AC1" s="3"/>
      <c r="AD1" s="3"/>
      <c r="AE1" s="4"/>
      <c r="AF1" s="4"/>
    </row>
    <row r="2">
      <c r="A2" s="2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/>
      <c r="Y2" s="6"/>
      <c r="Z2" s="7" t="s">
        <v>24</v>
      </c>
      <c r="AA2" s="6" t="s">
        <v>25</v>
      </c>
      <c r="AB2" s="7"/>
      <c r="AC2" s="8"/>
      <c r="AD2" s="9"/>
      <c r="AE2" s="9"/>
      <c r="AF2" s="9"/>
      <c r="AG2" s="5"/>
      <c r="AI2" s="5"/>
      <c r="AJ2" s="5"/>
      <c r="AK2" s="5">
        <v>35.0</v>
      </c>
      <c r="AL2" s="5">
        <v>36.0</v>
      </c>
      <c r="AM2" s="5">
        <v>37.0</v>
      </c>
      <c r="AN2" s="5">
        <v>38.0</v>
      </c>
      <c r="AO2" s="5">
        <v>39.0</v>
      </c>
      <c r="AP2" s="5">
        <v>40.0</v>
      </c>
      <c r="AQ2" s="5">
        <v>41.0</v>
      </c>
      <c r="AR2" s="5">
        <v>42.0</v>
      </c>
      <c r="AS2" s="5">
        <v>43.0</v>
      </c>
      <c r="AT2" s="5">
        <v>44.0</v>
      </c>
      <c r="AU2" s="5">
        <v>45.0</v>
      </c>
      <c r="AV2" s="5">
        <v>46.0</v>
      </c>
      <c r="AW2" s="5">
        <v>47.0</v>
      </c>
      <c r="AX2" s="5">
        <v>48.0</v>
      </c>
      <c r="AY2" s="5">
        <v>49.0</v>
      </c>
      <c r="AZ2" s="5">
        <v>50.0</v>
      </c>
      <c r="BA2" s="5">
        <v>51.0</v>
      </c>
      <c r="BB2" s="5">
        <v>52.0</v>
      </c>
      <c r="BC2" s="5">
        <v>53.0</v>
      </c>
      <c r="BD2" s="5">
        <v>54.0</v>
      </c>
    </row>
    <row r="3">
      <c r="A3" s="10" t="s">
        <v>26</v>
      </c>
      <c r="B3" s="11" t="s">
        <v>27</v>
      </c>
      <c r="C3" s="2">
        <f>273.16+14</f>
        <v>287.16</v>
      </c>
      <c r="D3" s="2">
        <f>273.16+90.33736183
</f>
        <v>363.4973618</v>
      </c>
      <c r="E3" s="2">
        <f>273.16+119.2999911
</f>
        <v>392.4599911</v>
      </c>
      <c r="F3" s="2">
        <f>273.16+280.0977528
</f>
        <v>553.2577528</v>
      </c>
      <c r="G3" s="2">
        <f>273.16+367.8120801
</f>
        <v>640.9720801</v>
      </c>
      <c r="H3" s="2">
        <f>273.16+926.7690515
</f>
        <v>1199.929052</v>
      </c>
      <c r="I3" s="2">
        <f>273.16+413.9430568
</f>
        <v>687.1030568</v>
      </c>
      <c r="J3" s="2">
        <f>273.16+408.5269258
</f>
        <v>681.6869258</v>
      </c>
      <c r="K3" s="2">
        <f>273.16+283.9467852
</f>
        <v>557.1067852</v>
      </c>
      <c r="L3" s="2">
        <f>273.16+218.7453629
</f>
        <v>491.9053629</v>
      </c>
      <c r="M3" s="2">
        <f>273.16+6.444413002
</f>
        <v>279.604413</v>
      </c>
      <c r="N3" s="2">
        <f>273.16+180.0069196
</f>
        <v>453.1669196</v>
      </c>
      <c r="O3" s="2">
        <f>273.16+347.4395453
</f>
        <v>620.5995453</v>
      </c>
      <c r="P3" s="2">
        <f>273.16+247.0046373
</f>
        <v>520.1646373</v>
      </c>
      <c r="Q3" s="2">
        <f>273.16+73.00193682
</f>
        <v>346.1619368</v>
      </c>
      <c r="R3" s="2">
        <f>273.16+104.6434375
</f>
        <v>377.8034375</v>
      </c>
      <c r="S3" s="2">
        <f>273.16+106.4950845
</f>
        <v>379.6550845</v>
      </c>
      <c r="T3" s="2">
        <f>273.16+106.7134091
</f>
        <v>379.8734091</v>
      </c>
      <c r="U3" s="2">
        <f>273.16+107.1301433
</f>
        <v>380.2901433</v>
      </c>
      <c r="V3" s="2">
        <f>273.16+34.57598872
</f>
        <v>307.7359887</v>
      </c>
      <c r="W3" s="2">
        <f>273.16+299.9506124
</f>
        <v>573.1106124</v>
      </c>
      <c r="X3" s="2"/>
      <c r="Y3" s="2"/>
      <c r="Z3" s="12">
        <v>1033.0</v>
      </c>
    </row>
    <row r="4">
      <c r="A4" s="13">
        <f>(556.8/509.7)*8.26876804</f>
        <v>9.032862556</v>
      </c>
      <c r="B4" s="11" t="s">
        <v>28</v>
      </c>
      <c r="C4" s="2">
        <f>273.16+90.33736183
</f>
        <v>363.4973618</v>
      </c>
      <c r="D4" s="2">
        <f>273.16+119.2999911
</f>
        <v>392.4599911</v>
      </c>
      <c r="E4" s="2">
        <f>273.16+153.1023905
</f>
        <v>426.2623905</v>
      </c>
      <c r="F4" s="2">
        <f>273.16+367.8120801
</f>
        <v>640.9720801</v>
      </c>
      <c r="G4" s="2">
        <f>273.16+520.8858764
</f>
        <v>794.0458764</v>
      </c>
      <c r="H4" s="2">
        <f>273.16+413.9430568
</f>
        <v>687.1030568</v>
      </c>
      <c r="I4" s="2">
        <f>273.16+337.9065036
</f>
        <v>611.0665036</v>
      </c>
      <c r="J4" s="2">
        <f>273.16+283.9467852
</f>
        <v>557.1067852</v>
      </c>
      <c r="K4" s="2">
        <f>273.16+202.9508554
</f>
        <v>476.1108554</v>
      </c>
      <c r="L4" s="2">
        <f>273.16+35.97916298
</f>
        <v>309.139163</v>
      </c>
      <c r="M4" s="2">
        <f>273.16+180.0069196
</f>
        <v>453.1669196</v>
      </c>
      <c r="N4" s="2">
        <f>273.16+314.0070817
</f>
        <v>587.1670817</v>
      </c>
      <c r="O4" s="2">
        <f>273.16+247.0046373
</f>
        <v>520.1646373</v>
      </c>
      <c r="P4" s="2">
        <f>273.16+73.00193682
</f>
        <v>346.1619368</v>
      </c>
      <c r="Q4" s="2">
        <f>273.16+13.9868714
</f>
        <v>287.1468714</v>
      </c>
      <c r="R4" s="2">
        <f t="shared" ref="R4:U4" si="1">273.16+15
</f>
        <v>288.16</v>
      </c>
      <c r="S4" s="2">
        <f t="shared" si="1"/>
        <v>288.16</v>
      </c>
      <c r="T4" s="2">
        <f t="shared" si="1"/>
        <v>288.16</v>
      </c>
      <c r="U4" s="2">
        <f t="shared" si="1"/>
        <v>288.16</v>
      </c>
      <c r="V4" s="2">
        <f>273.16+199.999979
</f>
        <v>473.159979</v>
      </c>
      <c r="W4" s="2">
        <f>273.16+5.016506539
</f>
        <v>278.1765065</v>
      </c>
      <c r="X4" s="2"/>
      <c r="Y4" s="2"/>
      <c r="Z4" s="12">
        <v>493.0</v>
      </c>
    </row>
    <row r="5">
      <c r="A5" s="2"/>
      <c r="B5" s="11" t="s">
        <v>29</v>
      </c>
      <c r="C5" s="2">
        <f t="shared" ref="C5:W5" si="2">1-278.16/((C4-C3)/ln(C4/C3))</f>
        <v>0.1410320299</v>
      </c>
      <c r="D5" s="2">
        <f t="shared" si="2"/>
        <v>0.2637250822</v>
      </c>
      <c r="E5" s="2">
        <f t="shared" si="2"/>
        <v>0.3201157845</v>
      </c>
      <c r="F5" s="2">
        <f t="shared" si="2"/>
        <v>0.5333196143</v>
      </c>
      <c r="G5" s="2">
        <f t="shared" si="2"/>
        <v>0.6108448957</v>
      </c>
      <c r="H5" s="2">
        <f t="shared" si="2"/>
        <v>0.6975904156</v>
      </c>
      <c r="I5" s="2">
        <f t="shared" si="2"/>
        <v>0.5709670619</v>
      </c>
      <c r="J5" s="2">
        <f t="shared" si="2"/>
        <v>0.549394788</v>
      </c>
      <c r="K5" s="2">
        <f t="shared" si="2"/>
        <v>0.4604584919</v>
      </c>
      <c r="L5" s="2">
        <f t="shared" si="2"/>
        <v>0.2930647186</v>
      </c>
      <c r="M5" s="2">
        <f t="shared" si="2"/>
        <v>0.2261046356</v>
      </c>
      <c r="N5" s="2">
        <f t="shared" si="2"/>
        <v>0.4622615674</v>
      </c>
      <c r="O5" s="2">
        <f t="shared" si="2"/>
        <v>0.5110609694</v>
      </c>
      <c r="P5" s="2">
        <f t="shared" si="2"/>
        <v>0.3489899232</v>
      </c>
      <c r="Q5" s="2">
        <f t="shared" si="2"/>
        <v>0.1190100268</v>
      </c>
      <c r="R5" s="2">
        <f t="shared" si="2"/>
        <v>0.1595379281</v>
      </c>
      <c r="S5" s="2">
        <f t="shared" si="2"/>
        <v>0.1616832128</v>
      </c>
      <c r="T5" s="2">
        <f t="shared" si="2"/>
        <v>0.1619352191</v>
      </c>
      <c r="U5" s="2">
        <f t="shared" si="2"/>
        <v>0.1624156962</v>
      </c>
      <c r="V5" s="2">
        <f t="shared" si="2"/>
        <v>0.2766344431</v>
      </c>
      <c r="W5" s="2">
        <f t="shared" si="2"/>
        <v>0.3182869768</v>
      </c>
      <c r="X5" s="2"/>
      <c r="Y5" s="2"/>
      <c r="Z5" s="2">
        <f>1-278.16/((Z4-Z3)/ln(Z4/Z3))</f>
        <v>0.6189654627</v>
      </c>
      <c r="AB5" s="2"/>
      <c r="AC5" s="2"/>
    </row>
    <row r="6">
      <c r="A6" s="2"/>
      <c r="B6" s="14" t="s">
        <v>30</v>
      </c>
      <c r="C6" s="15">
        <f>-4053852.828
*C5/3600</f>
        <v>-158.8119703</v>
      </c>
      <c r="D6" s="12">
        <f>-1661834.547
*D5/3600</f>
        <v>-121.740959</v>
      </c>
      <c r="E6" s="12">
        <f>-1898477.684
*E5/3600</f>
        <v>-168.8146314</v>
      </c>
      <c r="F6" s="16">
        <f>-20301602.58
*F5/3600</f>
        <v>-3007.56746</v>
      </c>
      <c r="G6" s="16">
        <f>-37305221.95
*G5/3600</f>
        <v>-6329.917892</v>
      </c>
      <c r="H6" s="16">
        <f>173892839
*H5/3600</f>
        <v>33696.10495</v>
      </c>
      <c r="I6" s="16">
        <f>24271329.33
*I5/3600</f>
        <v>3849.480443</v>
      </c>
      <c r="J6" s="16">
        <f>40117706.53
*J5/3600</f>
        <v>6122.349688</v>
      </c>
      <c r="K6" s="17">
        <f>25519093.66
*K5/3600</f>
        <v>3264.023162</v>
      </c>
      <c r="L6" s="17">
        <f>169986848.7
*L5/3600</f>
        <v>13838.09666</v>
      </c>
      <c r="M6" s="18">
        <f>-28146180.71
*M5/3600</f>
        <v>-1767.772759</v>
      </c>
      <c r="N6" s="18">
        <f>-22071184.49
*N5/3600</f>
        <v>-2834.072316</v>
      </c>
      <c r="O6" s="18">
        <f>16541226.71
*O5/3600</f>
        <v>2348.215377</v>
      </c>
      <c r="P6" s="18">
        <f>28185682.21
*P5/3600</f>
        <v>2732.366409</v>
      </c>
      <c r="Q6" s="18">
        <f>11338003.06
*Q5/3600</f>
        <v>374.8155688</v>
      </c>
      <c r="R6" s="18">
        <f>14460301.98
*R5/3600</f>
        <v>640.8240604</v>
      </c>
      <c r="S6" s="18">
        <f>14807173.51
*S5/3600</f>
        <v>665.0198295</v>
      </c>
      <c r="T6" s="18">
        <f>15028648.47
*T5/3600</f>
        <v>676.0187453</v>
      </c>
      <c r="U6" s="18">
        <f>15451924.3842927*U5/3600</f>
        <v>697.1208491</v>
      </c>
      <c r="V6" s="18">
        <f>-41813932.93
*V5/3600</f>
        <v>-3213.103903</v>
      </c>
      <c r="W6" s="18">
        <f>112875022
*W5/3600</f>
        <v>9979.624864</v>
      </c>
      <c r="X6" s="18"/>
      <c r="Y6" s="18"/>
      <c r="Z6" s="18">
        <f>F124*Z5</f>
        <v>12231.01594</v>
      </c>
    </row>
    <row r="7">
      <c r="A7" s="2"/>
      <c r="B7" s="11" t="s">
        <v>31</v>
      </c>
      <c r="C7" s="2">
        <f t="shared" ref="C7:W7" si="3">C6*0.6</f>
        <v>-95.28718218</v>
      </c>
      <c r="D7" s="2">
        <f t="shared" si="3"/>
        <v>-73.04457542</v>
      </c>
      <c r="E7" s="2">
        <f t="shared" si="3"/>
        <v>-101.2887788</v>
      </c>
      <c r="F7" s="2">
        <f t="shared" si="3"/>
        <v>-1804.540476</v>
      </c>
      <c r="G7" s="2">
        <f t="shared" si="3"/>
        <v>-3797.950735</v>
      </c>
      <c r="H7" s="2">
        <f t="shared" si="3"/>
        <v>20217.66297</v>
      </c>
      <c r="I7" s="2">
        <f t="shared" si="3"/>
        <v>2309.688266</v>
      </c>
      <c r="J7" s="2">
        <f t="shared" si="3"/>
        <v>3673.409813</v>
      </c>
      <c r="K7" s="2">
        <f t="shared" si="3"/>
        <v>1958.413897</v>
      </c>
      <c r="L7" s="2">
        <f t="shared" si="3"/>
        <v>8302.857998</v>
      </c>
      <c r="M7" s="2">
        <f t="shared" si="3"/>
        <v>-1060.663655</v>
      </c>
      <c r="N7" s="2">
        <f t="shared" si="3"/>
        <v>-1700.44339</v>
      </c>
      <c r="O7" s="2">
        <f t="shared" si="3"/>
        <v>1408.929226</v>
      </c>
      <c r="P7" s="2">
        <f t="shared" si="3"/>
        <v>1639.419845</v>
      </c>
      <c r="Q7" s="2">
        <f t="shared" si="3"/>
        <v>224.8893413</v>
      </c>
      <c r="R7" s="2">
        <f t="shared" si="3"/>
        <v>384.4944362</v>
      </c>
      <c r="S7" s="2">
        <f t="shared" si="3"/>
        <v>399.0118977</v>
      </c>
      <c r="T7" s="2">
        <f t="shared" si="3"/>
        <v>405.6112472</v>
      </c>
      <c r="U7" s="2">
        <f t="shared" si="3"/>
        <v>418.2725094</v>
      </c>
      <c r="V7" s="2">
        <f t="shared" si="3"/>
        <v>-1927.862342</v>
      </c>
      <c r="W7" s="2">
        <f t="shared" si="3"/>
        <v>5987.774918</v>
      </c>
      <c r="X7" s="2"/>
      <c r="Y7" s="18"/>
      <c r="Z7" s="18">
        <f>Z6*0.6</f>
        <v>7338.609566</v>
      </c>
    </row>
    <row r="8">
      <c r="A8" s="2"/>
      <c r="B8" s="19" t="s">
        <v>32</v>
      </c>
      <c r="C8" s="2">
        <f t="shared" ref="C8:W8" si="4">C7*0.3</f>
        <v>-28.58615465</v>
      </c>
      <c r="D8" s="2">
        <f t="shared" si="4"/>
        <v>-21.91337262</v>
      </c>
      <c r="E8" s="2">
        <f t="shared" si="4"/>
        <v>-30.38663365</v>
      </c>
      <c r="F8" s="2">
        <f t="shared" si="4"/>
        <v>-541.3621429</v>
      </c>
      <c r="G8" s="2">
        <f t="shared" si="4"/>
        <v>-1139.385221</v>
      </c>
      <c r="H8" s="2">
        <f t="shared" si="4"/>
        <v>6065.298891</v>
      </c>
      <c r="I8" s="2">
        <f t="shared" si="4"/>
        <v>692.9064798</v>
      </c>
      <c r="J8" s="2">
        <f t="shared" si="4"/>
        <v>1102.022944</v>
      </c>
      <c r="K8" s="2">
        <f t="shared" si="4"/>
        <v>587.5241691</v>
      </c>
      <c r="L8" s="2">
        <f t="shared" si="4"/>
        <v>2490.857399</v>
      </c>
      <c r="M8" s="2">
        <f t="shared" si="4"/>
        <v>-318.1990966</v>
      </c>
      <c r="N8" s="2">
        <f t="shared" si="4"/>
        <v>-510.1330169</v>
      </c>
      <c r="O8" s="2">
        <f t="shared" si="4"/>
        <v>422.6787679</v>
      </c>
      <c r="P8" s="2">
        <f t="shared" si="4"/>
        <v>491.8259536</v>
      </c>
      <c r="Q8" s="2">
        <f t="shared" si="4"/>
        <v>67.46680239</v>
      </c>
      <c r="R8" s="2">
        <f t="shared" si="4"/>
        <v>115.3483309</v>
      </c>
      <c r="S8" s="2">
        <f t="shared" si="4"/>
        <v>119.7035693</v>
      </c>
      <c r="T8" s="2">
        <f t="shared" si="4"/>
        <v>121.6833741</v>
      </c>
      <c r="U8" s="2">
        <f t="shared" si="4"/>
        <v>125.4817528</v>
      </c>
      <c r="V8" s="2">
        <f t="shared" si="4"/>
        <v>-578.3587026</v>
      </c>
      <c r="W8" s="2">
        <f t="shared" si="4"/>
        <v>1796.332475</v>
      </c>
      <c r="X8" s="2"/>
      <c r="Y8" s="2"/>
      <c r="Z8" s="2">
        <f>Z7*0.3</f>
        <v>2201.58287</v>
      </c>
      <c r="AA8" s="20">
        <f>SUM(C8:Z8)</f>
        <v>13232.38944</v>
      </c>
    </row>
    <row r="9">
      <c r="A9" s="2"/>
      <c r="K9" s="16"/>
    </row>
    <row r="10">
      <c r="A10" s="21" t="s">
        <v>33</v>
      </c>
      <c r="C10" s="22" t="s">
        <v>34</v>
      </c>
      <c r="D10" s="23" t="s">
        <v>35</v>
      </c>
      <c r="E10" s="22" t="s">
        <v>36</v>
      </c>
      <c r="F10" s="23" t="s">
        <v>37</v>
      </c>
      <c r="G10" s="23" t="s">
        <v>38</v>
      </c>
      <c r="H10" s="23" t="s">
        <v>39</v>
      </c>
      <c r="I10" s="23" t="s">
        <v>40</v>
      </c>
      <c r="J10" s="23" t="s">
        <v>41</v>
      </c>
      <c r="K10" s="24" t="s">
        <v>42</v>
      </c>
      <c r="L10" s="24" t="s">
        <v>43</v>
      </c>
      <c r="M10" s="12" t="s">
        <v>44</v>
      </c>
      <c r="N10" s="12"/>
    </row>
    <row r="11">
      <c r="A11" s="2" t="s">
        <v>45</v>
      </c>
      <c r="C11" s="25">
        <f t="shared" ref="C11:L11" si="5">C12/3600</f>
        <v>1212.755322</v>
      </c>
      <c r="D11" s="25">
        <f t="shared" si="5"/>
        <v>1568.859928</v>
      </c>
      <c r="E11" s="25">
        <f t="shared" si="5"/>
        <v>2018.081975</v>
      </c>
      <c r="F11" s="25">
        <f t="shared" si="5"/>
        <v>2587.085164</v>
      </c>
      <c r="G11" s="25">
        <f t="shared" si="5"/>
        <v>4023.677278</v>
      </c>
      <c r="H11" s="25">
        <f t="shared" si="5"/>
        <v>4102.181833</v>
      </c>
      <c r="I11" s="25">
        <f t="shared" si="5"/>
        <v>4203.215306</v>
      </c>
      <c r="J11" s="25">
        <f t="shared" si="5"/>
        <v>4420.51075</v>
      </c>
      <c r="K11" s="25">
        <f t="shared" si="5"/>
        <v>127.3014283</v>
      </c>
      <c r="L11" s="25">
        <f t="shared" si="5"/>
        <v>1590.339672</v>
      </c>
      <c r="M11" s="12" t="s">
        <v>46</v>
      </c>
      <c r="N11" s="12"/>
      <c r="T11" s="2" t="s">
        <v>47</v>
      </c>
    </row>
    <row r="12">
      <c r="A12" s="2" t="s">
        <v>48</v>
      </c>
      <c r="B12" s="2">
        <v>490000.0</v>
      </c>
      <c r="C12" s="25">
        <v>4365919.16</v>
      </c>
      <c r="D12" s="25">
        <v>5647895.74</v>
      </c>
      <c r="E12" s="25">
        <v>7265095.11</v>
      </c>
      <c r="F12" s="25">
        <v>9313506.59</v>
      </c>
      <c r="G12" s="25">
        <v>1.44852382E7</v>
      </c>
      <c r="H12" s="25">
        <v>1.47678546E7</v>
      </c>
      <c r="I12" s="25">
        <v>1.51315751E7</v>
      </c>
      <c r="J12" s="25">
        <v>1.59138387E7</v>
      </c>
      <c r="K12" s="25">
        <v>458285.142</v>
      </c>
      <c r="L12" s="25">
        <v>5725222.82</v>
      </c>
      <c r="M12" s="12" t="s">
        <v>49</v>
      </c>
      <c r="T12" s="15" t="s">
        <v>50</v>
      </c>
      <c r="U12" s="2" t="s">
        <v>51</v>
      </c>
    </row>
    <row r="13">
      <c r="A13" s="2" t="s">
        <v>52</v>
      </c>
      <c r="B13" s="2">
        <v>16800.0</v>
      </c>
      <c r="T13" s="15" t="s">
        <v>53</v>
      </c>
      <c r="U13" s="2" t="s">
        <v>54</v>
      </c>
    </row>
    <row r="14">
      <c r="A14" s="2" t="s">
        <v>55</v>
      </c>
      <c r="B14" s="15">
        <v>0.6</v>
      </c>
      <c r="K14" s="2"/>
      <c r="T14" s="15" t="s">
        <v>56</v>
      </c>
      <c r="U14" s="26" t="s">
        <v>57</v>
      </c>
    </row>
    <row r="15">
      <c r="A15" s="27" t="s">
        <v>58</v>
      </c>
      <c r="C15">
        <f t="shared" ref="C15:L15" si="6">$B12+$B13*(C11)^$B14</f>
        <v>1680071.885</v>
      </c>
      <c r="D15">
        <f t="shared" si="6"/>
        <v>1878864.201</v>
      </c>
      <c r="E15">
        <f t="shared" si="6"/>
        <v>2105372.048</v>
      </c>
      <c r="F15">
        <f t="shared" si="6"/>
        <v>2364976.017</v>
      </c>
      <c r="G15">
        <f t="shared" si="6"/>
        <v>2933898.507</v>
      </c>
      <c r="H15">
        <f t="shared" si="6"/>
        <v>2962397.102</v>
      </c>
      <c r="I15">
        <f t="shared" si="6"/>
        <v>2998755.074</v>
      </c>
      <c r="J15">
        <f t="shared" si="6"/>
        <v>3075787.028</v>
      </c>
      <c r="K15">
        <f t="shared" si="6"/>
        <v>797757.9267</v>
      </c>
      <c r="L15">
        <f t="shared" si="6"/>
        <v>1890242.378</v>
      </c>
      <c r="M15" s="2">
        <f>sum(C15:L15)</f>
        <v>22688122.17</v>
      </c>
    </row>
    <row r="16">
      <c r="A16" s="28" t="s">
        <v>59</v>
      </c>
      <c r="B16" s="20">
        <f>D16*A4</f>
        <v>266420295.9</v>
      </c>
      <c r="C16" s="29" t="s">
        <v>60</v>
      </c>
      <c r="D16" s="30">
        <f>M15*B17</f>
        <v>29494558.82</v>
      </c>
      <c r="K16" s="2"/>
    </row>
    <row r="17">
      <c r="A17" s="15" t="s">
        <v>61</v>
      </c>
      <c r="B17" s="12">
        <v>1.3</v>
      </c>
      <c r="K17" s="2"/>
    </row>
    <row r="18">
      <c r="A18" s="21" t="s">
        <v>62</v>
      </c>
      <c r="C18" s="22"/>
      <c r="D18" s="23" t="s">
        <v>63</v>
      </c>
      <c r="E18" s="22" t="s">
        <v>64</v>
      </c>
      <c r="F18" s="23" t="s">
        <v>65</v>
      </c>
      <c r="G18" s="22" t="s">
        <v>66</v>
      </c>
      <c r="H18" s="23" t="s">
        <v>67</v>
      </c>
      <c r="I18" s="27"/>
      <c r="K18" s="15"/>
      <c r="L18" s="12"/>
    </row>
    <row r="19">
      <c r="A19" s="12" t="s">
        <v>68</v>
      </c>
      <c r="B19" s="12" t="s">
        <v>69</v>
      </c>
      <c r="C19" s="15"/>
      <c r="D19" s="15">
        <v>5.0</v>
      </c>
      <c r="E19" s="15">
        <v>5.0</v>
      </c>
      <c r="F19" s="15">
        <v>5.0</v>
      </c>
      <c r="G19" s="15">
        <v>5.0</v>
      </c>
      <c r="H19" s="15">
        <v>33.0</v>
      </c>
      <c r="I19" s="15"/>
      <c r="K19" s="31"/>
      <c r="L19" s="32" t="s">
        <v>24</v>
      </c>
      <c r="M19" s="33" t="s">
        <v>70</v>
      </c>
      <c r="Q19" s="33" t="s">
        <v>71</v>
      </c>
      <c r="R19" s="34">
        <v>4.0</v>
      </c>
      <c r="S19" s="33" t="s">
        <v>72</v>
      </c>
      <c r="T19" s="34">
        <f>R21*360</f>
        <v>240</v>
      </c>
    </row>
    <row r="20">
      <c r="A20" s="12" t="s">
        <v>73</v>
      </c>
      <c r="B20" s="12">
        <v>0.45</v>
      </c>
      <c r="D20" s="34">
        <f>26710/3600</f>
        <v>7.419444444</v>
      </c>
      <c r="E20" s="34">
        <f>18410/3600</f>
        <v>5.113888889</v>
      </c>
      <c r="F20" s="34">
        <f>15100/3600</f>
        <v>4.194444444</v>
      </c>
      <c r="G20" s="34">
        <f>7880/3600</f>
        <v>2.188888889</v>
      </c>
      <c r="H20" s="34">
        <f>11830/3600</f>
        <v>3.286111111</v>
      </c>
      <c r="I20" s="34"/>
      <c r="J20" s="12"/>
      <c r="K20" s="35" t="s">
        <v>74</v>
      </c>
      <c r="L20" s="36">
        <f>(3.14*L26)*((L24+L25*2)/2)^2</f>
        <v>0.3915405556</v>
      </c>
      <c r="M20" s="33"/>
      <c r="Q20" s="33" t="s">
        <v>75</v>
      </c>
      <c r="R20" s="34">
        <v>6.0</v>
      </c>
      <c r="S20" s="33" t="s">
        <v>76</v>
      </c>
      <c r="T20" s="34">
        <v>40.0</v>
      </c>
    </row>
    <row r="21">
      <c r="A21" s="15" t="s">
        <v>77</v>
      </c>
      <c r="D21">
        <f t="shared" ref="D21:H21" si="7">D20*D19</f>
        <v>37.09722222</v>
      </c>
      <c r="E21">
        <f t="shared" si="7"/>
        <v>25.56944444</v>
      </c>
      <c r="F21">
        <f t="shared" si="7"/>
        <v>20.97222222</v>
      </c>
      <c r="G21">
        <f t="shared" si="7"/>
        <v>10.94444444</v>
      </c>
      <c r="H21">
        <f t="shared" si="7"/>
        <v>108.4416667</v>
      </c>
      <c r="K21" s="33" t="s">
        <v>78</v>
      </c>
      <c r="L21" s="36">
        <f>3.14*($L$24/2)^2*L26</f>
        <v>0.2450072222</v>
      </c>
      <c r="M21" s="33"/>
      <c r="Q21" s="33" t="s">
        <v>79</v>
      </c>
      <c r="R21" s="34">
        <f>R19/R20</f>
        <v>0.6666666667</v>
      </c>
    </row>
    <row r="22">
      <c r="A22" s="12" t="s">
        <v>80</v>
      </c>
      <c r="D22">
        <f>43000/3600</f>
        <v>11.94444444</v>
      </c>
      <c r="E22">
        <f>30610/3600</f>
        <v>8.502777778</v>
      </c>
      <c r="F22">
        <f>26120/3600</f>
        <v>7.255555556</v>
      </c>
      <c r="G22">
        <f>21510/3600</f>
        <v>5.975</v>
      </c>
      <c r="H22">
        <f>1485/3600</f>
        <v>0.4125</v>
      </c>
      <c r="J22" s="12"/>
      <c r="K22" s="33" t="s">
        <v>81</v>
      </c>
      <c r="L22" s="36">
        <f>L20-L21</f>
        <v>0.1465333333</v>
      </c>
      <c r="M22" s="33"/>
      <c r="Q22" s="33" t="s">
        <v>82</v>
      </c>
      <c r="R22" s="34">
        <f>R21*0.16</f>
        <v>0.1066666667</v>
      </c>
    </row>
    <row r="23">
      <c r="A23" s="12" t="s">
        <v>83</v>
      </c>
      <c r="D23">
        <f t="shared" ref="D23:H23" si="8">(D22*D19)/$B$20</f>
        <v>132.7160494</v>
      </c>
      <c r="E23">
        <f t="shared" si="8"/>
        <v>94.47530864</v>
      </c>
      <c r="F23">
        <f t="shared" si="8"/>
        <v>80.61728395</v>
      </c>
      <c r="G23">
        <f t="shared" si="8"/>
        <v>66.38888889</v>
      </c>
      <c r="H23">
        <f t="shared" si="8"/>
        <v>30.25</v>
      </c>
      <c r="K23" s="33" t="s">
        <v>84</v>
      </c>
      <c r="L23" s="36">
        <f>T19+T20</f>
        <v>280</v>
      </c>
      <c r="M23" s="33"/>
      <c r="N23" s="12" t="s">
        <v>85</v>
      </c>
      <c r="Q23" s="33" t="s">
        <v>86</v>
      </c>
      <c r="R23" s="34">
        <f>R21*0.02</f>
        <v>0.01333333333</v>
      </c>
    </row>
    <row r="24">
      <c r="A24" s="2" t="s">
        <v>48</v>
      </c>
      <c r="B24" s="2">
        <v>53000.0</v>
      </c>
      <c r="K24" s="33" t="s">
        <v>87</v>
      </c>
      <c r="L24" s="36">
        <f t="shared" ref="L24:L25" si="9">R24+R22</f>
        <v>0.1766666667</v>
      </c>
      <c r="M24" s="33"/>
      <c r="N24">
        <f>21390/13480</f>
        <v>1.586795252</v>
      </c>
      <c r="Q24" s="33" t="s">
        <v>88</v>
      </c>
      <c r="R24" s="34">
        <v>0.07</v>
      </c>
    </row>
    <row r="25">
      <c r="A25" s="2" t="s">
        <v>52</v>
      </c>
      <c r="B25" s="2">
        <v>28000.0</v>
      </c>
      <c r="K25" s="33" t="s">
        <v>89</v>
      </c>
      <c r="L25" s="36">
        <f t="shared" si="9"/>
        <v>0.02333333333</v>
      </c>
      <c r="M25" s="33"/>
      <c r="Q25" s="33" t="s">
        <v>90</v>
      </c>
      <c r="R25" s="34">
        <v>0.01</v>
      </c>
    </row>
    <row r="26">
      <c r="A26" s="2" t="s">
        <v>55</v>
      </c>
      <c r="B26" s="2">
        <v>0.8</v>
      </c>
      <c r="K26" s="33" t="s">
        <v>91</v>
      </c>
      <c r="L26" s="36">
        <f>10</f>
        <v>10</v>
      </c>
      <c r="M26" s="33"/>
      <c r="N26" s="12" t="s">
        <v>92</v>
      </c>
    </row>
    <row r="27">
      <c r="A27" s="2" t="s">
        <v>58</v>
      </c>
      <c r="C27" s="15">
        <v>0.0</v>
      </c>
      <c r="D27" s="2">
        <f t="shared" ref="D27:H27" si="10">$B$24+$B$25*(D23)^$B$26</f>
        <v>1450966.575</v>
      </c>
      <c r="E27" s="2">
        <f t="shared" si="10"/>
        <v>1118154.697</v>
      </c>
      <c r="F27" s="2">
        <f t="shared" si="10"/>
        <v>991211.0881</v>
      </c>
      <c r="G27" s="2">
        <f t="shared" si="10"/>
        <v>856219.6999</v>
      </c>
      <c r="H27" s="2">
        <f t="shared" si="10"/>
        <v>481290.3947</v>
      </c>
      <c r="I27" s="2"/>
      <c r="K27" s="37" t="s">
        <v>93</v>
      </c>
      <c r="L27" s="34">
        <f>L22*L23*N24</f>
        <v>65.10515134</v>
      </c>
      <c r="M27" s="38">
        <f>$B$24+$B$25*(L27)^$B$26</f>
        <v>843770.2344</v>
      </c>
    </row>
    <row r="28">
      <c r="A28" s="28" t="s">
        <v>59</v>
      </c>
      <c r="B28" s="20">
        <f>D28*A4</f>
        <v>44241537.71</v>
      </c>
      <c r="C28" s="39" t="s">
        <v>94</v>
      </c>
      <c r="D28" s="30">
        <f>SUM(D27:H27)</f>
        <v>4897842.455</v>
      </c>
      <c r="K28" s="40" t="s">
        <v>95</v>
      </c>
      <c r="L28" s="41">
        <f>1.7/1.3</f>
        <v>1.307692308</v>
      </c>
      <c r="M28" s="42">
        <f>M27*L28</f>
        <v>1103391.845</v>
      </c>
      <c r="N28" s="43" t="s">
        <v>60</v>
      </c>
      <c r="O28" s="28" t="s">
        <v>59</v>
      </c>
      <c r="P28" s="20">
        <f>M28*A4</f>
        <v>9966786.881</v>
      </c>
    </row>
    <row r="29">
      <c r="A29" s="21" t="s">
        <v>96</v>
      </c>
      <c r="C29" s="22" t="s">
        <v>3</v>
      </c>
      <c r="D29" s="23" t="s">
        <v>4</v>
      </c>
      <c r="E29" s="23" t="s">
        <v>5</v>
      </c>
      <c r="F29" s="23" t="s">
        <v>6</v>
      </c>
      <c r="G29" s="23" t="s">
        <v>7</v>
      </c>
      <c r="H29" s="23" t="s">
        <v>8</v>
      </c>
      <c r="I29" s="23" t="s">
        <v>9</v>
      </c>
      <c r="J29" s="23" t="s">
        <v>10</v>
      </c>
      <c r="K29" s="23" t="s">
        <v>11</v>
      </c>
      <c r="L29" s="23" t="s">
        <v>12</v>
      </c>
      <c r="M29" s="23" t="s">
        <v>13</v>
      </c>
      <c r="N29" s="23" t="s">
        <v>14</v>
      </c>
      <c r="O29" s="23" t="s">
        <v>15</v>
      </c>
      <c r="P29" s="23" t="s">
        <v>16</v>
      </c>
      <c r="Q29" s="23" t="s">
        <v>17</v>
      </c>
      <c r="R29" s="23" t="s">
        <v>18</v>
      </c>
      <c r="S29" s="23" t="s">
        <v>19</v>
      </c>
      <c r="T29" s="23" t="s">
        <v>20</v>
      </c>
      <c r="U29" s="23" t="s">
        <v>21</v>
      </c>
      <c r="V29" s="23" t="s">
        <v>22</v>
      </c>
      <c r="W29" s="23" t="s">
        <v>23</v>
      </c>
      <c r="X29" s="23"/>
      <c r="Y29" s="44"/>
      <c r="Z29" s="12" t="s">
        <v>97</v>
      </c>
    </row>
    <row r="30">
      <c r="A30" s="15" t="s">
        <v>98</v>
      </c>
      <c r="C30" s="12">
        <v>400.0</v>
      </c>
      <c r="D30" s="12">
        <v>400.0</v>
      </c>
      <c r="E30" s="12">
        <v>400.0</v>
      </c>
      <c r="F30" s="12">
        <v>400.0</v>
      </c>
      <c r="G30" s="12">
        <v>400.0</v>
      </c>
      <c r="H30" s="12">
        <v>400.0</v>
      </c>
      <c r="I30" s="12">
        <v>400.0</v>
      </c>
      <c r="J30" s="12">
        <v>400.0</v>
      </c>
      <c r="K30" s="12">
        <v>400.0</v>
      </c>
      <c r="L30" s="12">
        <v>400.0</v>
      </c>
      <c r="M30" s="12">
        <v>400.0</v>
      </c>
      <c r="N30" s="12">
        <v>400.0</v>
      </c>
      <c r="O30" s="12">
        <v>400.0</v>
      </c>
      <c r="P30" s="12">
        <v>400.0</v>
      </c>
      <c r="Q30" s="12">
        <v>400.0</v>
      </c>
      <c r="R30" s="12">
        <v>400.0</v>
      </c>
      <c r="S30" s="12">
        <v>400.0</v>
      </c>
      <c r="T30" s="12">
        <v>400.0</v>
      </c>
      <c r="U30" s="12">
        <v>400.0</v>
      </c>
      <c r="V30" s="12">
        <v>400.0</v>
      </c>
      <c r="W30" s="12">
        <v>400.0</v>
      </c>
      <c r="X30" s="12"/>
      <c r="Y30" s="12"/>
    </row>
    <row r="31">
      <c r="A31" s="12" t="s">
        <v>99</v>
      </c>
      <c r="C31">
        <f t="shared" ref="C31:W31" si="11">-C6*1000/(C5)</f>
        <v>1126070.23</v>
      </c>
      <c r="D31">
        <f t="shared" si="11"/>
        <v>461620.7075</v>
      </c>
      <c r="E31">
        <f t="shared" si="11"/>
        <v>527354.9122</v>
      </c>
      <c r="F31">
        <f t="shared" si="11"/>
        <v>5639334.05</v>
      </c>
      <c r="G31">
        <f t="shared" si="11"/>
        <v>10362561.65</v>
      </c>
      <c r="H31">
        <f t="shared" si="11"/>
        <v>-48303566.39</v>
      </c>
      <c r="I31">
        <f t="shared" si="11"/>
        <v>-6742035.925</v>
      </c>
      <c r="J31">
        <f t="shared" si="11"/>
        <v>-11143807.37</v>
      </c>
      <c r="K31">
        <f t="shared" si="11"/>
        <v>-7088637.128</v>
      </c>
      <c r="L31">
        <f t="shared" si="11"/>
        <v>-47218569.08</v>
      </c>
      <c r="M31">
        <f t="shared" si="11"/>
        <v>7818383.531</v>
      </c>
      <c r="N31">
        <f t="shared" si="11"/>
        <v>6130884.581</v>
      </c>
      <c r="O31">
        <f t="shared" si="11"/>
        <v>-4594785.197</v>
      </c>
      <c r="P31">
        <f t="shared" si="11"/>
        <v>-7829356.169</v>
      </c>
      <c r="Q31">
        <f t="shared" si="11"/>
        <v>-3149445.294</v>
      </c>
      <c r="R31">
        <f t="shared" si="11"/>
        <v>-4016750.55</v>
      </c>
      <c r="S31">
        <f t="shared" si="11"/>
        <v>-4113103.753</v>
      </c>
      <c r="T31">
        <f t="shared" si="11"/>
        <v>-4174624.575</v>
      </c>
      <c r="U31">
        <f t="shared" si="11"/>
        <v>-4292201.218</v>
      </c>
      <c r="V31">
        <f t="shared" si="11"/>
        <v>11614981.37</v>
      </c>
      <c r="W31">
        <f t="shared" si="11"/>
        <v>-31354172.78</v>
      </c>
      <c r="AA31" s="12" t="s">
        <v>100</v>
      </c>
    </row>
    <row r="32">
      <c r="A32" s="12" t="s">
        <v>101</v>
      </c>
      <c r="C32">
        <f t="shared" ref="C32:W32" si="12">(C4-C3)/2</f>
        <v>38.16868092</v>
      </c>
      <c r="D32">
        <f t="shared" si="12"/>
        <v>14.48131464</v>
      </c>
      <c r="E32">
        <f t="shared" si="12"/>
        <v>16.9011997</v>
      </c>
      <c r="F32">
        <f t="shared" si="12"/>
        <v>43.85716365</v>
      </c>
      <c r="G32">
        <f t="shared" si="12"/>
        <v>76.53689815</v>
      </c>
      <c r="H32">
        <f t="shared" si="12"/>
        <v>-256.4129974</v>
      </c>
      <c r="I32">
        <f t="shared" si="12"/>
        <v>-38.0182766</v>
      </c>
      <c r="J32">
        <f t="shared" si="12"/>
        <v>-62.2900703</v>
      </c>
      <c r="K32">
        <f t="shared" si="12"/>
        <v>-40.4979649</v>
      </c>
      <c r="L32">
        <f t="shared" si="12"/>
        <v>-91.38309996</v>
      </c>
      <c r="M32">
        <f t="shared" si="12"/>
        <v>86.7812533</v>
      </c>
      <c r="N32">
        <f t="shared" si="12"/>
        <v>67.00008105</v>
      </c>
      <c r="O32">
        <f t="shared" si="12"/>
        <v>-50.217454</v>
      </c>
      <c r="P32">
        <f t="shared" si="12"/>
        <v>-87.00135024</v>
      </c>
      <c r="Q32">
        <f t="shared" si="12"/>
        <v>-29.50753271</v>
      </c>
      <c r="R32">
        <f t="shared" si="12"/>
        <v>-44.82171875</v>
      </c>
      <c r="S32">
        <f t="shared" si="12"/>
        <v>-45.74754225</v>
      </c>
      <c r="T32">
        <f t="shared" si="12"/>
        <v>-45.85670455</v>
      </c>
      <c r="U32">
        <f t="shared" si="12"/>
        <v>-46.06507165</v>
      </c>
      <c r="V32">
        <f t="shared" si="12"/>
        <v>82.71199514</v>
      </c>
      <c r="W32">
        <f t="shared" si="12"/>
        <v>-147.4670529</v>
      </c>
    </row>
    <row r="33">
      <c r="A33" s="15" t="s">
        <v>102</v>
      </c>
      <c r="C33" s="2">
        <f t="shared" ref="C33:W33" si="13">C31/(C30*C32)</f>
        <v>73.75616625</v>
      </c>
      <c r="D33" s="2">
        <f t="shared" si="13"/>
        <v>79.69247253</v>
      </c>
      <c r="E33" s="2">
        <f t="shared" si="13"/>
        <v>78.00554422</v>
      </c>
      <c r="F33" s="2">
        <f t="shared" si="13"/>
        <v>321.4602576</v>
      </c>
      <c r="G33" s="2">
        <f t="shared" si="13"/>
        <v>338.4825458</v>
      </c>
      <c r="H33" s="2">
        <f t="shared" si="13"/>
        <v>470.9547379</v>
      </c>
      <c r="I33" s="2">
        <f t="shared" si="13"/>
        <v>443.341764</v>
      </c>
      <c r="J33" s="2">
        <f t="shared" si="13"/>
        <v>447.2545671</v>
      </c>
      <c r="K33" s="2">
        <f t="shared" si="13"/>
        <v>437.5921818</v>
      </c>
      <c r="L33" s="2">
        <f t="shared" si="13"/>
        <v>1291.775205</v>
      </c>
      <c r="M33" s="2">
        <f t="shared" si="13"/>
        <v>225.2325022</v>
      </c>
      <c r="N33" s="2">
        <f t="shared" si="13"/>
        <v>228.7640733</v>
      </c>
      <c r="O33" s="2">
        <f t="shared" si="13"/>
        <v>228.744432</v>
      </c>
      <c r="P33" s="2">
        <f t="shared" si="13"/>
        <v>224.9780075</v>
      </c>
      <c r="Q33" s="2">
        <f t="shared" si="13"/>
        <v>266.8340086</v>
      </c>
      <c r="R33" s="2">
        <f t="shared" si="13"/>
        <v>224.0404129</v>
      </c>
      <c r="S33" s="2">
        <f t="shared" si="13"/>
        <v>224.7718429</v>
      </c>
      <c r="T33" s="2">
        <f t="shared" si="13"/>
        <v>227.5907425</v>
      </c>
      <c r="U33" s="2">
        <f t="shared" si="13"/>
        <v>232.9422849</v>
      </c>
      <c r="V33" s="2">
        <f t="shared" si="13"/>
        <v>351.0670172</v>
      </c>
      <c r="W33" s="2">
        <f t="shared" si="13"/>
        <v>531.5453885</v>
      </c>
      <c r="X33" s="2"/>
      <c r="Y33" s="2"/>
    </row>
    <row r="34">
      <c r="A34" s="2" t="s">
        <v>48</v>
      </c>
      <c r="B34" s="2">
        <v>24000.0</v>
      </c>
      <c r="K34" s="2"/>
    </row>
    <row r="35">
      <c r="A35" s="2" t="s">
        <v>52</v>
      </c>
      <c r="B35" s="2">
        <v>46.0</v>
      </c>
      <c r="K35" s="2"/>
    </row>
    <row r="36">
      <c r="A36" s="2" t="s">
        <v>55</v>
      </c>
      <c r="B36" s="2">
        <v>1.2</v>
      </c>
      <c r="K36" s="2"/>
    </row>
    <row r="37">
      <c r="A37" s="45" t="s">
        <v>58</v>
      </c>
      <c r="C37" s="2">
        <f t="shared" ref="C37:W37" si="14">$B$34+$B$35*(C33)^$B$36</f>
        <v>32018.91912</v>
      </c>
      <c r="D37" s="2">
        <f t="shared" si="14"/>
        <v>32799.51211</v>
      </c>
      <c r="E37" s="2">
        <f t="shared" si="14"/>
        <v>32576.46653</v>
      </c>
      <c r="F37" s="2">
        <f t="shared" si="14"/>
        <v>70914.87654</v>
      </c>
      <c r="G37" s="2">
        <f t="shared" si="14"/>
        <v>73911.58552</v>
      </c>
      <c r="H37" s="2">
        <f t="shared" si="14"/>
        <v>98187.8587</v>
      </c>
      <c r="I37" s="2">
        <f t="shared" si="14"/>
        <v>92999.22387</v>
      </c>
      <c r="J37" s="2">
        <f t="shared" si="14"/>
        <v>93730.62735</v>
      </c>
      <c r="K37" s="2">
        <f t="shared" si="14"/>
        <v>91926.82205</v>
      </c>
      <c r="L37" s="2">
        <f t="shared" si="14"/>
        <v>272990.1489</v>
      </c>
      <c r="M37" s="2">
        <f t="shared" si="14"/>
        <v>54613.64951</v>
      </c>
      <c r="N37" s="2">
        <f t="shared" si="14"/>
        <v>55190.56319</v>
      </c>
      <c r="O37" s="2">
        <f t="shared" si="14"/>
        <v>55187.34966</v>
      </c>
      <c r="P37" s="2">
        <f t="shared" si="14"/>
        <v>54572.14502</v>
      </c>
      <c r="Q37" s="2">
        <f t="shared" si="14"/>
        <v>61518.6539</v>
      </c>
      <c r="R37" s="2">
        <f t="shared" si="14"/>
        <v>54419.31772</v>
      </c>
      <c r="S37" s="2">
        <f t="shared" si="14"/>
        <v>54538.52939</v>
      </c>
      <c r="T37" s="2">
        <f t="shared" si="14"/>
        <v>54998.69014</v>
      </c>
      <c r="U37" s="2">
        <f t="shared" si="14"/>
        <v>55875.41362</v>
      </c>
      <c r="V37" s="2">
        <f t="shared" si="14"/>
        <v>76146.58434</v>
      </c>
      <c r="W37" s="2">
        <f t="shared" si="14"/>
        <v>109783.993</v>
      </c>
      <c r="X37" s="2"/>
      <c r="Y37" s="2"/>
      <c r="Z37">
        <f>sum(C37:Y37)</f>
        <v>1578900.93</v>
      </c>
    </row>
    <row r="38">
      <c r="A38" s="28" t="s">
        <v>59</v>
      </c>
      <c r="B38" s="20">
        <f>D38*A4</f>
        <v>18540593.62</v>
      </c>
      <c r="C38" s="29" t="s">
        <v>60</v>
      </c>
      <c r="D38" s="30">
        <f>Z37*B39</f>
        <v>2052571.209</v>
      </c>
      <c r="K38" s="2"/>
    </row>
    <row r="39">
      <c r="A39" s="46" t="s">
        <v>61</v>
      </c>
      <c r="B39" s="12">
        <v>1.3</v>
      </c>
      <c r="K39" s="2"/>
    </row>
    <row r="40">
      <c r="A40" s="2"/>
      <c r="K40" s="2"/>
    </row>
    <row r="41">
      <c r="A41" s="2"/>
      <c r="K41" s="2"/>
    </row>
    <row r="42">
      <c r="A42" s="2"/>
      <c r="K42" s="2"/>
    </row>
    <row r="43">
      <c r="A43" s="2"/>
      <c r="K43" s="2"/>
    </row>
    <row r="44">
      <c r="A44" s="21" t="s">
        <v>103</v>
      </c>
      <c r="B44" s="2" t="s">
        <v>104</v>
      </c>
      <c r="C44" s="2" t="s">
        <v>105</v>
      </c>
      <c r="D44" s="2" t="s">
        <v>106</v>
      </c>
      <c r="E44" s="2" t="s">
        <v>107</v>
      </c>
      <c r="F44" s="2" t="s">
        <v>108</v>
      </c>
      <c r="G44" s="2" t="s">
        <v>109</v>
      </c>
      <c r="H44" s="12" t="s">
        <v>110</v>
      </c>
      <c r="I44" s="12" t="s">
        <v>111</v>
      </c>
      <c r="J44" s="12"/>
      <c r="K44" s="12"/>
    </row>
    <row r="45">
      <c r="A45" s="2" t="s">
        <v>112</v>
      </c>
      <c r="B45" s="15">
        <v>999.7</v>
      </c>
      <c r="C45" s="47">
        <v>1016.0</v>
      </c>
      <c r="D45" s="12">
        <v>1016.0</v>
      </c>
      <c r="E45" s="12">
        <v>1016.0</v>
      </c>
      <c r="F45" s="12">
        <v>1018.0</v>
      </c>
      <c r="G45" s="12">
        <v>1021.0</v>
      </c>
      <c r="H45" s="12">
        <v>613.0</v>
      </c>
      <c r="I45" s="12">
        <v>641.8</v>
      </c>
      <c r="J45" s="12"/>
      <c r="K45" s="12"/>
    </row>
    <row r="46">
      <c r="A46" s="2" t="s">
        <v>113</v>
      </c>
      <c r="B46" s="15">
        <v>8.057</v>
      </c>
      <c r="C46" s="47">
        <v>4.459</v>
      </c>
      <c r="D46" s="12">
        <v>9.177</v>
      </c>
      <c r="E46" s="12">
        <v>18.84</v>
      </c>
      <c r="F46" s="12">
        <v>37.95</v>
      </c>
      <c r="G46" s="12">
        <v>73.45</v>
      </c>
      <c r="H46" s="12">
        <v>121.5</v>
      </c>
      <c r="I46" s="12">
        <v>3.959</v>
      </c>
      <c r="J46" s="12"/>
      <c r="K46" s="12"/>
    </row>
    <row r="47">
      <c r="A47" s="2" t="s">
        <v>114</v>
      </c>
      <c r="B47" s="2">
        <f t="shared" ref="B47:I47" si="15">0.07*((B45-B46)/B46)^0.5</f>
        <v>0.7765850639</v>
      </c>
      <c r="C47" s="2">
        <f t="shared" si="15"/>
        <v>1.054316611</v>
      </c>
      <c r="D47" s="2">
        <f t="shared" si="15"/>
        <v>0.7332030083</v>
      </c>
      <c r="E47" s="2">
        <f t="shared" si="15"/>
        <v>0.5092605271</v>
      </c>
      <c r="F47" s="2">
        <f t="shared" si="15"/>
        <v>0.3557265385</v>
      </c>
      <c r="G47" s="2">
        <f t="shared" si="15"/>
        <v>0.2514219601</v>
      </c>
      <c r="H47" s="2">
        <f t="shared" si="15"/>
        <v>0.1407899524</v>
      </c>
      <c r="I47" s="2">
        <f t="shared" si="15"/>
        <v>0.8885083327</v>
      </c>
      <c r="J47" s="2"/>
      <c r="K47" s="2"/>
    </row>
    <row r="48">
      <c r="A48" s="2" t="s">
        <v>115</v>
      </c>
      <c r="B48" s="2">
        <f>12720/3600</f>
        <v>3.533333333</v>
      </c>
      <c r="C48" s="2">
        <f>10720/(3600)</f>
        <v>2.977777778</v>
      </c>
      <c r="D48" s="2">
        <f>5202/(3600)</f>
        <v>1.445</v>
      </c>
      <c r="E48" s="2">
        <f>2532/(3600)</f>
        <v>0.7033333333</v>
      </c>
      <c r="F48" s="2">
        <f>1257/(3600)</f>
        <v>0.3491666667</v>
      </c>
      <c r="G48" s="2">
        <f>649.2/(3600)</f>
        <v>0.1803333333</v>
      </c>
      <c r="H48" s="2">
        <f>267.4/(3600)</f>
        <v>0.07427777778</v>
      </c>
      <c r="I48" s="2">
        <f>1400/(3600)</f>
        <v>0.3888888889</v>
      </c>
      <c r="J48" s="2"/>
      <c r="K48" s="2"/>
      <c r="L48" s="12" t="s">
        <v>116</v>
      </c>
    </row>
    <row r="49">
      <c r="A49" s="2" t="s">
        <v>117</v>
      </c>
      <c r="B49" s="2">
        <f t="shared" ref="B49:C49" si="16">(4*B48/(3.14*B47))^(0.5)</f>
        <v>2.407481509</v>
      </c>
      <c r="C49" s="2">
        <f t="shared" si="16"/>
        <v>1.896818555</v>
      </c>
      <c r="D49" s="2">
        <f>(4*C48/(3.14*D47))^(0.5)</f>
        <v>2.274569414</v>
      </c>
      <c r="E49" s="2">
        <f t="shared" ref="E49:I49" si="17">(4*E48/(3.14*E47))^(0.5)</f>
        <v>1.326403821</v>
      </c>
      <c r="F49" s="2">
        <f t="shared" si="17"/>
        <v>1.118210142</v>
      </c>
      <c r="G49" s="2">
        <f t="shared" si="17"/>
        <v>0.9558760337</v>
      </c>
      <c r="H49" s="2">
        <f t="shared" si="17"/>
        <v>0.8198016567</v>
      </c>
      <c r="I49" s="2">
        <f t="shared" si="17"/>
        <v>0.7467017799</v>
      </c>
      <c r="J49" s="2"/>
      <c r="K49" s="2"/>
      <c r="L49" s="2"/>
    </row>
    <row r="50">
      <c r="A50" s="2" t="s">
        <v>118</v>
      </c>
      <c r="B50" s="2">
        <f t="shared" ref="B50:I50" si="18">B49*3.2808399</f>
        <v>7.898561394</v>
      </c>
      <c r="C50" s="2">
        <f t="shared" si="18"/>
        <v>6.223157999</v>
      </c>
      <c r="D50" s="2">
        <f t="shared" si="18"/>
        <v>7.462498087</v>
      </c>
      <c r="E50" s="2">
        <f t="shared" si="18"/>
        <v>4.351718579</v>
      </c>
      <c r="F50" s="2">
        <f t="shared" si="18"/>
        <v>3.66866845</v>
      </c>
      <c r="G50" s="2">
        <f t="shared" si="18"/>
        <v>3.136076231</v>
      </c>
      <c r="H50" s="2">
        <f t="shared" si="18"/>
        <v>2.689637985</v>
      </c>
      <c r="I50" s="2">
        <f t="shared" si="18"/>
        <v>2.449808993</v>
      </c>
      <c r="J50" s="2"/>
      <c r="K50" s="2"/>
      <c r="L50" s="2"/>
    </row>
    <row r="51">
      <c r="A51" s="2" t="s">
        <v>119</v>
      </c>
      <c r="B51" s="2">
        <f>8/3.2808399</f>
        <v>2.438399996</v>
      </c>
      <c r="C51" s="2">
        <f>6/3.2808399</f>
        <v>1.828799997</v>
      </c>
      <c r="D51" s="2">
        <f>7/3.2808399</f>
        <v>2.133599997</v>
      </c>
      <c r="E51" s="2">
        <f t="shared" ref="E51:F51" si="19">4/3.2808399</f>
        <v>1.219199998</v>
      </c>
      <c r="F51" s="2">
        <f t="shared" si="19"/>
        <v>1.219199998</v>
      </c>
      <c r="G51" s="2">
        <f t="shared" ref="G51:H51" si="20">3/3.2808399</f>
        <v>0.9143999986</v>
      </c>
      <c r="H51" s="2">
        <f t="shared" si="20"/>
        <v>0.9143999986</v>
      </c>
      <c r="I51" s="2">
        <f>2/3.2808399</f>
        <v>0.6095999991</v>
      </c>
      <c r="J51" s="2"/>
      <c r="K51" s="2"/>
      <c r="L51" s="2"/>
    </row>
    <row r="52">
      <c r="A52" s="15" t="s">
        <v>120</v>
      </c>
      <c r="B52" s="2">
        <f>47.27/(3600)</f>
        <v>0.01313055556</v>
      </c>
      <c r="C52" s="2">
        <f>0.7485/(3600)</f>
        <v>0.0002079166667</v>
      </c>
      <c r="D52" s="12">
        <f>0.05888/3600</f>
        <v>0.00001635555556</v>
      </c>
      <c r="E52">
        <f>0.0322/3600</f>
        <v>0.000008944444444</v>
      </c>
      <c r="F52">
        <f>0.01464/3600</f>
        <v>0.000004066666667</v>
      </c>
      <c r="G52">
        <f>0.005486/3600</f>
        <v>0.000001523888889</v>
      </c>
      <c r="H52">
        <f>82.48/3600</f>
        <v>0.02291111111</v>
      </c>
      <c r="I52">
        <f>70.14/3600</f>
        <v>0.01948333333</v>
      </c>
      <c r="L52" s="12" t="s">
        <v>121</v>
      </c>
    </row>
    <row r="53">
      <c r="A53" s="2" t="s">
        <v>122</v>
      </c>
      <c r="B53" s="2">
        <v>600.0</v>
      </c>
      <c r="C53" s="2">
        <v>600.0</v>
      </c>
      <c r="D53" s="2">
        <v>600.0</v>
      </c>
      <c r="E53" s="2">
        <v>600.0</v>
      </c>
      <c r="F53" s="2">
        <v>600.0</v>
      </c>
      <c r="G53" s="2">
        <v>600.0</v>
      </c>
      <c r="H53" s="2">
        <v>600.0</v>
      </c>
      <c r="I53" s="2">
        <v>600.0</v>
      </c>
      <c r="J53" s="2"/>
      <c r="K53" s="2"/>
      <c r="L53" s="2"/>
    </row>
    <row r="54">
      <c r="A54" s="2" t="s">
        <v>123</v>
      </c>
      <c r="B54" s="2">
        <f t="shared" ref="B54:I54" si="21">B52*B53</f>
        <v>7.878333333</v>
      </c>
      <c r="C54" s="2">
        <f t="shared" si="21"/>
        <v>0.12475</v>
      </c>
      <c r="D54" s="2">
        <f t="shared" si="21"/>
        <v>0.009813333333</v>
      </c>
      <c r="E54" s="2">
        <f t="shared" si="21"/>
        <v>0.005366666667</v>
      </c>
      <c r="F54" s="2">
        <f t="shared" si="21"/>
        <v>0.00244</v>
      </c>
      <c r="G54" s="2">
        <f t="shared" si="21"/>
        <v>0.0009143333333</v>
      </c>
      <c r="H54" s="2">
        <f t="shared" si="21"/>
        <v>13.74666667</v>
      </c>
      <c r="I54" s="2">
        <f t="shared" si="21"/>
        <v>11.69</v>
      </c>
      <c r="J54" s="2"/>
      <c r="K54" s="2"/>
    </row>
    <row r="55">
      <c r="A55" s="2" t="s">
        <v>124</v>
      </c>
      <c r="B55" s="2">
        <f t="shared" ref="B55:I55" si="22">B54/(3.14*((B51^2)))*4</f>
        <v>1.687931419</v>
      </c>
      <c r="C55" s="2">
        <f t="shared" si="22"/>
        <v>0.04751584673</v>
      </c>
      <c r="D55" s="2">
        <f t="shared" si="22"/>
        <v>0.00274612872</v>
      </c>
      <c r="E55" s="2">
        <f t="shared" si="22"/>
        <v>0.004599229253</v>
      </c>
      <c r="F55" s="2">
        <f t="shared" si="22"/>
        <v>0.002091078145</v>
      </c>
      <c r="G55" s="2">
        <f t="shared" si="22"/>
        <v>0.001393036394</v>
      </c>
      <c r="H55" s="2">
        <f t="shared" si="22"/>
        <v>20.94379179</v>
      </c>
      <c r="I55" s="2">
        <f t="shared" si="22"/>
        <v>40.07328444</v>
      </c>
      <c r="J55" s="2"/>
      <c r="K55" s="2"/>
    </row>
    <row r="56">
      <c r="A56" s="2" t="s">
        <v>125</v>
      </c>
      <c r="B56" s="2">
        <f t="shared" ref="B56:I56" si="23">B51/2+B51+0.4+B55</f>
        <v>5.745531413</v>
      </c>
      <c r="C56" s="2">
        <f t="shared" si="23"/>
        <v>3.190715843</v>
      </c>
      <c r="D56" s="2">
        <f t="shared" si="23"/>
        <v>3.603146124</v>
      </c>
      <c r="E56" s="2">
        <f t="shared" si="23"/>
        <v>2.233399226</v>
      </c>
      <c r="F56" s="2">
        <f t="shared" si="23"/>
        <v>2.230891075</v>
      </c>
      <c r="G56" s="2">
        <f t="shared" si="23"/>
        <v>1.772993034</v>
      </c>
      <c r="H56" s="2">
        <f t="shared" si="23"/>
        <v>22.71539179</v>
      </c>
      <c r="I56" s="2">
        <f t="shared" si="23"/>
        <v>41.38768444</v>
      </c>
      <c r="J56" s="2"/>
      <c r="K56" s="2"/>
    </row>
    <row r="57">
      <c r="A57" s="27" t="s">
        <v>126</v>
      </c>
      <c r="B57" s="48">
        <v>1390000.0</v>
      </c>
      <c r="C57" s="48">
        <v>1235000.0</v>
      </c>
      <c r="D57" s="48">
        <v>2573000.0</v>
      </c>
      <c r="E57" s="12">
        <v>5378000.0</v>
      </c>
      <c r="F57" s="12">
        <v>1.124E7</v>
      </c>
      <c r="G57" s="12">
        <v>2.35E7</v>
      </c>
      <c r="H57" s="12">
        <v>2.25E7</v>
      </c>
      <c r="I57" s="12">
        <v>500000.0</v>
      </c>
      <c r="J57" s="12"/>
      <c r="K57" s="12"/>
    </row>
    <row r="58">
      <c r="A58" s="27" t="s">
        <v>127</v>
      </c>
      <c r="B58" s="27">
        <f t="shared" ref="B58:I58" si="24">B57*1.1</f>
        <v>1529000</v>
      </c>
      <c r="C58" s="27">
        <f t="shared" si="24"/>
        <v>1358500</v>
      </c>
      <c r="D58" s="27">
        <f t="shared" si="24"/>
        <v>2830300</v>
      </c>
      <c r="E58" s="27">
        <f t="shared" si="24"/>
        <v>5915800</v>
      </c>
      <c r="F58" s="27">
        <f t="shared" si="24"/>
        <v>12364000</v>
      </c>
      <c r="G58" s="27">
        <f t="shared" si="24"/>
        <v>25850000</v>
      </c>
      <c r="H58" s="27">
        <f t="shared" si="24"/>
        <v>24750000</v>
      </c>
      <c r="I58" s="27">
        <f t="shared" si="24"/>
        <v>550000</v>
      </c>
      <c r="J58" s="27"/>
      <c r="K58" s="27"/>
    </row>
    <row r="59">
      <c r="A59" s="15" t="s">
        <v>128</v>
      </c>
      <c r="B59" s="27">
        <f t="shared" ref="B59:I59" si="25">89*(10^6)*1</f>
        <v>89000000</v>
      </c>
      <c r="C59" s="27">
        <f t="shared" si="25"/>
        <v>89000000</v>
      </c>
      <c r="D59" s="27">
        <f t="shared" si="25"/>
        <v>89000000</v>
      </c>
      <c r="E59" s="27">
        <f t="shared" si="25"/>
        <v>89000000</v>
      </c>
      <c r="F59" s="27">
        <f t="shared" si="25"/>
        <v>89000000</v>
      </c>
      <c r="G59" s="27">
        <f t="shared" si="25"/>
        <v>89000000</v>
      </c>
      <c r="H59" s="27">
        <f t="shared" si="25"/>
        <v>89000000</v>
      </c>
      <c r="I59" s="27">
        <f t="shared" si="25"/>
        <v>89000000</v>
      </c>
      <c r="J59" s="27"/>
      <c r="K59" s="27"/>
    </row>
    <row r="60">
      <c r="A60" s="48" t="s">
        <v>129</v>
      </c>
      <c r="B60" s="27">
        <f t="shared" ref="B60:I60" si="26">B58*B51/((2*B59)-(1.2*B58))</f>
        <v>0.02116373492</v>
      </c>
      <c r="C60" s="27">
        <f t="shared" si="26"/>
        <v>0.01408645242</v>
      </c>
      <c r="D60" s="27">
        <f t="shared" si="26"/>
        <v>0.0345853504</v>
      </c>
      <c r="E60" s="27">
        <f t="shared" si="26"/>
        <v>0.04220303954</v>
      </c>
      <c r="F60" s="27">
        <f t="shared" si="26"/>
        <v>0.09238718521</v>
      </c>
      <c r="G60" s="27">
        <f t="shared" si="26"/>
        <v>0.160819431</v>
      </c>
      <c r="H60" s="27">
        <f t="shared" si="26"/>
        <v>0.1526055291</v>
      </c>
      <c r="I60" s="27">
        <f t="shared" si="26"/>
        <v>0.001890605613</v>
      </c>
      <c r="J60" s="27"/>
      <c r="K60" s="27"/>
    </row>
    <row r="61">
      <c r="A61" s="27" t="s">
        <v>130</v>
      </c>
      <c r="B61" s="48">
        <v>8030.0</v>
      </c>
      <c r="C61" s="48">
        <v>8030.0</v>
      </c>
      <c r="D61" s="48">
        <v>8030.0</v>
      </c>
      <c r="E61" s="48">
        <v>8030.0</v>
      </c>
      <c r="F61" s="48">
        <v>8030.0</v>
      </c>
      <c r="G61" s="48">
        <v>8030.0</v>
      </c>
      <c r="H61" s="48">
        <v>8030.0</v>
      </c>
      <c r="I61" s="48">
        <v>8030.0</v>
      </c>
      <c r="J61" s="48"/>
      <c r="K61" s="48"/>
    </row>
    <row r="62">
      <c r="A62" s="27" t="s">
        <v>131</v>
      </c>
      <c r="B62" s="27">
        <f t="shared" ref="B62:I62" si="27">3.14*B51*B56*B60*B61</f>
        <v>7476.057949</v>
      </c>
      <c r="C62" s="27">
        <f t="shared" si="27"/>
        <v>2072.531629</v>
      </c>
      <c r="D62" s="27">
        <f t="shared" si="27"/>
        <v>6703.972908</v>
      </c>
      <c r="E62" s="27">
        <f t="shared" si="27"/>
        <v>2897.54533</v>
      </c>
      <c r="F62" s="27">
        <f t="shared" si="27"/>
        <v>6335.928217</v>
      </c>
      <c r="G62" s="27">
        <f t="shared" si="27"/>
        <v>6573.958536</v>
      </c>
      <c r="H62" s="27">
        <f t="shared" si="27"/>
        <v>79923.02457</v>
      </c>
      <c r="I62" s="27">
        <f t="shared" si="27"/>
        <v>1202.713604</v>
      </c>
      <c r="J62" s="27"/>
      <c r="K62" s="27"/>
    </row>
    <row r="63">
      <c r="A63" s="27" t="s">
        <v>48</v>
      </c>
      <c r="B63" s="27">
        <v>15000.0</v>
      </c>
      <c r="K63" s="2"/>
    </row>
    <row r="64">
      <c r="A64" s="27" t="s">
        <v>52</v>
      </c>
      <c r="B64" s="2">
        <v>68.0</v>
      </c>
      <c r="K64" s="2"/>
    </row>
    <row r="65">
      <c r="A65" s="27" t="s">
        <v>55</v>
      </c>
      <c r="B65" s="27">
        <v>0.85</v>
      </c>
      <c r="K65" s="2"/>
    </row>
    <row r="66">
      <c r="A66" s="27" t="s">
        <v>132</v>
      </c>
      <c r="B66" s="2">
        <f t="shared" ref="B66:I66" si="28">$B$63+$B$64*(B62)^
$B$65</f>
        <v>148392.273</v>
      </c>
      <c r="C66" s="2">
        <f t="shared" si="28"/>
        <v>59826.50762</v>
      </c>
      <c r="D66" s="2">
        <f t="shared" si="28"/>
        <v>136588.171</v>
      </c>
      <c r="E66" s="2">
        <f t="shared" si="28"/>
        <v>74598.40207</v>
      </c>
      <c r="F66" s="2">
        <f t="shared" si="28"/>
        <v>130890.4432</v>
      </c>
      <c r="G66" s="2">
        <f t="shared" si="28"/>
        <v>134580.9032</v>
      </c>
      <c r="H66" s="2">
        <f t="shared" si="28"/>
        <v>1014493.644</v>
      </c>
      <c r="I66" s="2">
        <f t="shared" si="28"/>
        <v>43225.83526</v>
      </c>
      <c r="J66" s="2"/>
      <c r="K66" s="2"/>
    </row>
    <row r="67">
      <c r="A67" s="28" t="s">
        <v>59</v>
      </c>
      <c r="B67" s="20">
        <f>D67*A4</f>
        <v>15740631.78</v>
      </c>
      <c r="C67" s="49" t="s">
        <v>60</v>
      </c>
      <c r="D67" s="30">
        <f>SUM(B66:K66)</f>
        <v>1742596.18</v>
      </c>
      <c r="K67" s="2"/>
    </row>
    <row r="68">
      <c r="A68" s="46"/>
      <c r="B68" s="12"/>
      <c r="K68" s="2"/>
    </row>
    <row r="69">
      <c r="A69" s="2"/>
      <c r="K69" s="2"/>
    </row>
    <row r="70">
      <c r="A70" s="2"/>
      <c r="K70" s="2"/>
    </row>
    <row r="71">
      <c r="A71" s="50" t="s">
        <v>133</v>
      </c>
      <c r="B71" s="51"/>
      <c r="C71" s="52" t="s">
        <v>134</v>
      </c>
      <c r="D71" s="52" t="s">
        <v>135</v>
      </c>
      <c r="E71" s="52" t="s">
        <v>136</v>
      </c>
      <c r="F71" s="53" t="s">
        <v>137</v>
      </c>
      <c r="G71" s="4"/>
      <c r="H71" s="4"/>
      <c r="I71" s="4"/>
      <c r="K71" s="2"/>
    </row>
    <row r="72">
      <c r="A72" s="54" t="s">
        <v>138</v>
      </c>
      <c r="B72" s="4"/>
      <c r="C72" s="4"/>
      <c r="D72" s="4"/>
      <c r="E72" s="4"/>
      <c r="F72" s="4"/>
      <c r="G72" s="4"/>
      <c r="H72" s="4"/>
      <c r="I72" s="4"/>
      <c r="K72" s="2"/>
    </row>
    <row r="73">
      <c r="A73" s="54" t="s">
        <v>139</v>
      </c>
      <c r="B73" s="4"/>
      <c r="C73" s="55">
        <v>1.5</v>
      </c>
      <c r="D73" s="55">
        <v>1.5</v>
      </c>
      <c r="E73" s="55">
        <v>1.5</v>
      </c>
      <c r="F73" s="55">
        <v>1.5</v>
      </c>
      <c r="G73" s="4"/>
      <c r="H73" s="4"/>
      <c r="I73" s="4"/>
      <c r="K73" s="2"/>
    </row>
    <row r="74">
      <c r="A74" s="54" t="s">
        <v>48</v>
      </c>
      <c r="B74" s="36">
        <v>110.0</v>
      </c>
      <c r="C74" s="4"/>
      <c r="D74" s="4"/>
      <c r="E74" s="4"/>
      <c r="F74" s="4"/>
      <c r="G74" s="4"/>
      <c r="H74" s="4"/>
      <c r="I74" s="4"/>
      <c r="K74" s="2"/>
    </row>
    <row r="75">
      <c r="A75" s="54" t="s">
        <v>52</v>
      </c>
      <c r="B75" s="36">
        <v>380.0</v>
      </c>
      <c r="C75" s="4"/>
      <c r="D75" s="4"/>
      <c r="E75" s="4"/>
      <c r="F75" s="4"/>
      <c r="G75" s="4"/>
      <c r="H75" s="4"/>
      <c r="I75" s="4"/>
      <c r="K75" s="2"/>
    </row>
    <row r="76">
      <c r="A76" s="54" t="s">
        <v>55</v>
      </c>
      <c r="B76" s="36">
        <v>1.8</v>
      </c>
      <c r="C76" s="4"/>
      <c r="D76" s="4"/>
      <c r="E76" s="4"/>
      <c r="F76" s="4"/>
      <c r="G76" s="4"/>
      <c r="H76" s="4"/>
      <c r="I76" s="4"/>
      <c r="K76" s="2"/>
    </row>
    <row r="77">
      <c r="A77" s="56" t="s">
        <v>140</v>
      </c>
      <c r="B77" s="4"/>
      <c r="C77" s="36">
        <f t="shared" ref="C77:F77" si="29">$B$74+$B$75*(C73)^$B$76</f>
        <v>898.4022643</v>
      </c>
      <c r="D77" s="36">
        <f t="shared" si="29"/>
        <v>898.4022643</v>
      </c>
      <c r="E77" s="36">
        <f t="shared" si="29"/>
        <v>898.4022643</v>
      </c>
      <c r="F77" s="36">
        <f t="shared" si="29"/>
        <v>898.4022643</v>
      </c>
      <c r="G77" s="34">
        <f>sum(C77:F77)</f>
        <v>3593.609057</v>
      </c>
      <c r="H77" s="4"/>
      <c r="I77" s="4"/>
      <c r="K77" s="2"/>
    </row>
    <row r="78">
      <c r="A78" s="57" t="s">
        <v>141</v>
      </c>
      <c r="B78" s="58"/>
      <c r="C78" s="59">
        <f t="shared" ref="C78:F78" si="30">C90*C73/((2*B59)-(1.2*C90))</f>
        <v>0.01282978303</v>
      </c>
      <c r="D78" s="60">
        <f t="shared" si="30"/>
        <v>0.01282978303</v>
      </c>
      <c r="E78" s="60">
        <f t="shared" si="30"/>
        <v>0.01282978303</v>
      </c>
      <c r="F78" s="60">
        <f t="shared" si="30"/>
        <v>0.01282978303</v>
      </c>
      <c r="G78" s="4"/>
      <c r="H78" s="4"/>
      <c r="I78" s="4"/>
      <c r="K78" s="2"/>
    </row>
    <row r="79">
      <c r="A79" s="35" t="s">
        <v>142</v>
      </c>
      <c r="B79" s="4"/>
      <c r="C79" s="34">
        <f t="shared" ref="C79:F79" si="31">(3.15*(C73^2)/4)*C80</f>
        <v>16.8328125</v>
      </c>
      <c r="D79" s="34">
        <f t="shared" si="31"/>
        <v>16.8328125</v>
      </c>
      <c r="E79" s="34">
        <f t="shared" si="31"/>
        <v>16.8328125</v>
      </c>
      <c r="F79" s="34">
        <f t="shared" si="31"/>
        <v>16.8328125</v>
      </c>
      <c r="G79" s="4"/>
      <c r="H79" s="4"/>
      <c r="I79" s="4"/>
      <c r="K79" s="2"/>
    </row>
    <row r="80">
      <c r="A80" s="35" t="s">
        <v>143</v>
      </c>
      <c r="B80" s="4"/>
      <c r="C80" s="61">
        <f t="shared" ref="C80:F80" si="32">15*0.5+2</f>
        <v>9.5</v>
      </c>
      <c r="D80" s="61">
        <f t="shared" si="32"/>
        <v>9.5</v>
      </c>
      <c r="E80" s="61">
        <f t="shared" si="32"/>
        <v>9.5</v>
      </c>
      <c r="F80" s="61">
        <f t="shared" si="32"/>
        <v>9.5</v>
      </c>
      <c r="G80" s="35" t="s">
        <v>144</v>
      </c>
      <c r="H80" s="4"/>
      <c r="I80" s="4"/>
      <c r="K80" s="2"/>
    </row>
    <row r="81">
      <c r="A81" s="35" t="s">
        <v>145</v>
      </c>
      <c r="B81" s="4"/>
      <c r="C81" s="34">
        <f t="shared" ref="C81:F81" si="33">C79-((3.14*((C73-C78*2)^2)/4)*C80)</f>
        <v>0.6225960243</v>
      </c>
      <c r="D81" s="34">
        <f t="shared" si="33"/>
        <v>0.6225960243</v>
      </c>
      <c r="E81" s="34">
        <f t="shared" si="33"/>
        <v>0.6225960243</v>
      </c>
      <c r="F81" s="34">
        <f t="shared" si="33"/>
        <v>0.6225960243</v>
      </c>
      <c r="G81" s="4"/>
      <c r="H81" s="4"/>
      <c r="I81" s="4"/>
      <c r="K81" s="2"/>
    </row>
    <row r="82">
      <c r="A82" s="35" t="s">
        <v>146</v>
      </c>
      <c r="B82" s="4"/>
      <c r="C82" s="34">
        <f t="shared" ref="C82:F82" si="34">(3.14*(C73^2)/4)*C78*2</f>
        <v>0.04532120856</v>
      </c>
      <c r="D82" s="34">
        <f t="shared" si="34"/>
        <v>0.04532120856</v>
      </c>
      <c r="E82" s="34">
        <f t="shared" si="34"/>
        <v>0.04532120856</v>
      </c>
      <c r="F82" s="34">
        <f t="shared" si="34"/>
        <v>0.04532120856</v>
      </c>
      <c r="G82" s="4"/>
      <c r="H82" s="4"/>
      <c r="I82" s="4"/>
      <c r="K82" s="2"/>
    </row>
    <row r="83">
      <c r="A83" s="35" t="s">
        <v>147</v>
      </c>
      <c r="B83" s="4"/>
      <c r="C83" s="34">
        <f t="shared" ref="C83:F83" si="35">C82+C81</f>
        <v>0.6679172329</v>
      </c>
      <c r="D83" s="34">
        <f t="shared" si="35"/>
        <v>0.6679172329</v>
      </c>
      <c r="E83" s="34">
        <f t="shared" si="35"/>
        <v>0.6679172329</v>
      </c>
      <c r="F83" s="34">
        <f t="shared" si="35"/>
        <v>0.6679172329</v>
      </c>
      <c r="G83" s="4"/>
      <c r="H83" s="4"/>
      <c r="I83" s="4"/>
      <c r="K83" s="2"/>
    </row>
    <row r="84">
      <c r="A84" s="35" t="s">
        <v>148</v>
      </c>
      <c r="B84" s="4"/>
      <c r="C84" s="34">
        <f t="shared" ref="C84:F84" si="36">8.03*1000</f>
        <v>8030</v>
      </c>
      <c r="D84" s="34">
        <f t="shared" si="36"/>
        <v>8030</v>
      </c>
      <c r="E84" s="34">
        <f t="shared" si="36"/>
        <v>8030</v>
      </c>
      <c r="F84" s="34">
        <f t="shared" si="36"/>
        <v>8030</v>
      </c>
      <c r="G84" s="4"/>
      <c r="H84" s="4"/>
      <c r="I84" s="4"/>
      <c r="K84" s="2"/>
    </row>
    <row r="85">
      <c r="A85" s="54" t="s">
        <v>149</v>
      </c>
      <c r="B85" s="4"/>
      <c r="C85" s="36">
        <f t="shared" ref="C85:F85" si="37">C84*C83</f>
        <v>5363.37538</v>
      </c>
      <c r="D85" s="36">
        <f t="shared" si="37"/>
        <v>5363.37538</v>
      </c>
      <c r="E85" s="36">
        <f t="shared" si="37"/>
        <v>5363.37538</v>
      </c>
      <c r="F85" s="36">
        <f t="shared" si="37"/>
        <v>5363.37538</v>
      </c>
      <c r="G85" s="4"/>
      <c r="H85" s="4"/>
      <c r="I85" s="4"/>
      <c r="K85" s="2"/>
    </row>
    <row r="86">
      <c r="A86" s="54" t="s">
        <v>48</v>
      </c>
      <c r="B86" s="36">
        <v>15000.0</v>
      </c>
      <c r="C86" s="4"/>
      <c r="D86" s="4"/>
      <c r="E86" s="4"/>
      <c r="F86" s="4"/>
      <c r="G86" s="4"/>
      <c r="H86" s="4"/>
      <c r="I86" s="4"/>
      <c r="K86" s="2"/>
    </row>
    <row r="87">
      <c r="A87" s="54" t="s">
        <v>52</v>
      </c>
      <c r="B87" s="36">
        <v>68.0</v>
      </c>
      <c r="C87" s="4"/>
      <c r="D87" s="4"/>
      <c r="E87" s="4"/>
      <c r="F87" s="4"/>
      <c r="G87" s="4"/>
      <c r="H87" s="4"/>
      <c r="I87" s="4"/>
      <c r="K87" s="2"/>
    </row>
    <row r="88">
      <c r="A88" s="54" t="s">
        <v>55</v>
      </c>
      <c r="B88" s="36">
        <v>0.85</v>
      </c>
      <c r="C88" s="4"/>
      <c r="D88" s="4"/>
      <c r="E88" s="4"/>
      <c r="F88" s="4"/>
      <c r="G88" s="4"/>
      <c r="H88" s="4"/>
      <c r="I88" s="4"/>
      <c r="K88" s="2"/>
    </row>
    <row r="89">
      <c r="A89" s="54" t="s">
        <v>150</v>
      </c>
      <c r="B89" s="4"/>
      <c r="C89" s="36">
        <f t="shared" ref="C89:F89" si="38">$B$86+$B$87*(C85)^$B$88</f>
        <v>115584.5733</v>
      </c>
      <c r="D89" s="36">
        <f t="shared" si="38"/>
        <v>115584.5733</v>
      </c>
      <c r="E89" s="36">
        <f t="shared" si="38"/>
        <v>115584.5733</v>
      </c>
      <c r="F89" s="36">
        <f t="shared" si="38"/>
        <v>115584.5733</v>
      </c>
      <c r="G89" s="34">
        <f>sum(C89:F89)</f>
        <v>462338.293</v>
      </c>
      <c r="H89" s="4"/>
      <c r="I89" s="4"/>
      <c r="K89" s="2"/>
    </row>
    <row r="90">
      <c r="A90" s="57" t="s">
        <v>151</v>
      </c>
      <c r="B90" s="58"/>
      <c r="C90" s="62">
        <f t="shared" ref="C90:F90" si="39">1370000*1.1</f>
        <v>1507000</v>
      </c>
      <c r="D90" s="62">
        <f t="shared" si="39"/>
        <v>1507000</v>
      </c>
      <c r="E90" s="62">
        <f t="shared" si="39"/>
        <v>1507000</v>
      </c>
      <c r="F90" s="62">
        <f t="shared" si="39"/>
        <v>1507000</v>
      </c>
      <c r="G90" s="4"/>
      <c r="H90" s="4"/>
      <c r="I90" s="4"/>
      <c r="K90" s="2"/>
    </row>
    <row r="91">
      <c r="A91" s="28" t="s">
        <v>59</v>
      </c>
      <c r="B91" s="20">
        <f>D91*A4</f>
        <v>4208698.832</v>
      </c>
      <c r="C91" s="63" t="s">
        <v>60</v>
      </c>
      <c r="D91" s="64">
        <f>G77+G89</f>
        <v>465931.9021</v>
      </c>
      <c r="E91" s="4"/>
      <c r="F91" s="4"/>
      <c r="G91" s="4"/>
      <c r="H91" s="4"/>
      <c r="I91" s="4"/>
      <c r="K91" s="2"/>
    </row>
    <row r="92">
      <c r="K92" s="2"/>
    </row>
    <row r="93">
      <c r="A93" s="2"/>
      <c r="I93" s="65" t="s">
        <v>152</v>
      </c>
      <c r="J93" s="4"/>
      <c r="K93" s="33" t="s">
        <v>153</v>
      </c>
      <c r="L93" s="54" t="s">
        <v>154</v>
      </c>
      <c r="M93" s="33" t="s">
        <v>155</v>
      </c>
      <c r="N93" s="54" t="s">
        <v>156</v>
      </c>
    </row>
    <row r="94">
      <c r="A94" s="15"/>
      <c r="I94" s="33" t="s">
        <v>157</v>
      </c>
      <c r="J94" s="4"/>
      <c r="K94" s="36">
        <f t="shared" ref="K94:N94" si="40">3886*1000/3600</f>
        <v>1079.444444</v>
      </c>
      <c r="L94" s="36">
        <f t="shared" si="40"/>
        <v>1079.444444</v>
      </c>
      <c r="M94" s="36">
        <f t="shared" si="40"/>
        <v>1079.444444</v>
      </c>
      <c r="N94" s="36">
        <f t="shared" si="40"/>
        <v>1079.444444</v>
      </c>
    </row>
    <row r="95">
      <c r="A95" s="35" t="s">
        <v>158</v>
      </c>
      <c r="B95" s="12">
        <v>1.7</v>
      </c>
      <c r="E95" s="35"/>
      <c r="I95" s="33" t="s">
        <v>48</v>
      </c>
      <c r="J95" s="34">
        <v>6900.0</v>
      </c>
      <c r="K95" s="4"/>
      <c r="L95" s="4"/>
      <c r="M95" s="4"/>
      <c r="N95" s="4"/>
    </row>
    <row r="96">
      <c r="A96" s="54" t="s">
        <v>159</v>
      </c>
      <c r="B96" s="34">
        <v>1.3</v>
      </c>
      <c r="E96" s="66" t="s">
        <v>160</v>
      </c>
      <c r="F96" s="33"/>
      <c r="G96" s="33" t="s">
        <v>161</v>
      </c>
      <c r="I96" s="33" t="s">
        <v>52</v>
      </c>
      <c r="J96" s="34">
        <v>206.0</v>
      </c>
      <c r="K96" s="4"/>
      <c r="L96" s="4"/>
      <c r="M96" s="4"/>
      <c r="N96" s="4"/>
    </row>
    <row r="97">
      <c r="A97" s="54" t="s">
        <v>162</v>
      </c>
      <c r="B97" s="34">
        <v>0.3</v>
      </c>
      <c r="E97" s="33"/>
      <c r="F97" s="34"/>
      <c r="G97" s="33"/>
      <c r="I97" s="33" t="s">
        <v>55</v>
      </c>
      <c r="J97" s="34">
        <v>0.9</v>
      </c>
      <c r="K97" s="4"/>
      <c r="L97" s="4"/>
      <c r="M97" s="4"/>
      <c r="N97" s="4"/>
    </row>
    <row r="98">
      <c r="A98" s="54" t="s">
        <v>163</v>
      </c>
      <c r="B98" s="34">
        <v>0.8</v>
      </c>
      <c r="E98" s="33"/>
      <c r="F98" s="34"/>
      <c r="G98" s="33"/>
      <c r="I98" s="33" t="s">
        <v>164</v>
      </c>
      <c r="J98" s="4"/>
      <c r="K98" s="38">
        <f t="shared" ref="K98:N98" si="41">$J$95+$J$96*(K94)^$J$97</f>
        <v>117498.0542</v>
      </c>
      <c r="L98" s="38">
        <f t="shared" si="41"/>
        <v>117498.0542</v>
      </c>
      <c r="M98" s="38">
        <f t="shared" si="41"/>
        <v>117498.0542</v>
      </c>
      <c r="N98" s="38">
        <f t="shared" si="41"/>
        <v>117498.0542</v>
      </c>
    </row>
    <row r="99">
      <c r="A99" s="54" t="s">
        <v>165</v>
      </c>
      <c r="B99" s="34">
        <v>0.3</v>
      </c>
      <c r="E99" s="33" t="s">
        <v>166</v>
      </c>
      <c r="F99" s="47">
        <v>38253.8</v>
      </c>
      <c r="G99" s="33" t="s">
        <v>167</v>
      </c>
      <c r="I99" s="33" t="s">
        <v>168</v>
      </c>
      <c r="J99" s="4"/>
      <c r="K99" s="62">
        <v>2977.0</v>
      </c>
      <c r="L99" s="62">
        <v>2977.0</v>
      </c>
      <c r="M99" s="62">
        <v>2977.0</v>
      </c>
      <c r="N99" s="62">
        <v>2977.0</v>
      </c>
    </row>
    <row r="100">
      <c r="A100" s="54" t="s">
        <v>169</v>
      </c>
      <c r="B100" s="34">
        <v>0.2</v>
      </c>
      <c r="E100" s="33" t="s">
        <v>170</v>
      </c>
      <c r="F100" s="47">
        <v>83000.7</v>
      </c>
      <c r="G100" s="33" t="s">
        <v>167</v>
      </c>
      <c r="I100" s="33" t="s">
        <v>48</v>
      </c>
      <c r="J100" s="34">
        <v>-950.0</v>
      </c>
      <c r="K100" s="4"/>
      <c r="L100" s="4"/>
      <c r="M100" s="4"/>
      <c r="N100" s="4"/>
    </row>
    <row r="101">
      <c r="A101" s="54" t="s">
        <v>171</v>
      </c>
      <c r="B101" s="34">
        <v>0.3</v>
      </c>
      <c r="E101" s="33" t="s">
        <v>172</v>
      </c>
      <c r="F101" s="34">
        <f>-242/3600</f>
        <v>-0.06722222222</v>
      </c>
      <c r="G101" s="33"/>
      <c r="I101" s="33" t="s">
        <v>52</v>
      </c>
      <c r="J101" s="34">
        <v>1770.0</v>
      </c>
      <c r="K101" s="4"/>
      <c r="L101" s="4"/>
      <c r="M101" s="4"/>
      <c r="N101" s="4"/>
    </row>
    <row r="102">
      <c r="A102" s="54" t="s">
        <v>173</v>
      </c>
      <c r="B102" s="34">
        <v>0.2</v>
      </c>
      <c r="E102" s="67" t="s">
        <v>174</v>
      </c>
      <c r="F102" s="34">
        <f>((-2*242-394)+74)/3600</f>
        <v>-0.2233333333</v>
      </c>
      <c r="G102" s="33"/>
      <c r="I102" s="33" t="s">
        <v>55</v>
      </c>
      <c r="J102" s="34">
        <v>0.6</v>
      </c>
      <c r="K102" s="4"/>
      <c r="L102" s="4"/>
      <c r="M102" s="4"/>
      <c r="N102" s="4"/>
    </row>
    <row r="103">
      <c r="A103" s="54" t="s">
        <v>175</v>
      </c>
      <c r="B103" s="34">
        <v>0.1</v>
      </c>
      <c r="E103" s="33" t="s">
        <v>176</v>
      </c>
      <c r="F103" s="34">
        <f>212902159.5/(3600)</f>
        <v>59139.48875</v>
      </c>
      <c r="G103" s="33"/>
      <c r="I103" s="33" t="s">
        <v>164</v>
      </c>
      <c r="J103" s="4"/>
      <c r="K103" s="34">
        <f t="shared" ref="K103:N103" si="42">$J$100+$J$101*(K99)^$J$102</f>
        <v>213952.0544</v>
      </c>
      <c r="L103" s="34">
        <f t="shared" si="42"/>
        <v>213952.0544</v>
      </c>
      <c r="M103" s="34">
        <f t="shared" si="42"/>
        <v>213952.0544</v>
      </c>
      <c r="N103" s="34">
        <f t="shared" si="42"/>
        <v>213952.0544</v>
      </c>
    </row>
    <row r="104">
      <c r="A104" s="54" t="s">
        <v>177</v>
      </c>
      <c r="B104" s="34">
        <v>0.3</v>
      </c>
      <c r="E104" s="33" t="s">
        <v>178</v>
      </c>
      <c r="F104" s="34">
        <f>F99*F102*0.6</f>
        <v>-5126.0092</v>
      </c>
      <c r="G104" s="33"/>
      <c r="I104" s="28" t="s">
        <v>59</v>
      </c>
      <c r="J104" s="20">
        <f>L104*A4</f>
        <v>15568505.03</v>
      </c>
      <c r="K104" s="68" t="s">
        <v>60</v>
      </c>
      <c r="L104" s="64">
        <f>(sum(K98:N98)+sum(K103:N103))*J105</f>
        <v>1723540.565</v>
      </c>
      <c r="M104" s="4"/>
      <c r="N104" s="4"/>
    </row>
    <row r="105">
      <c r="A105" s="54" t="s">
        <v>179</v>
      </c>
      <c r="B105" s="34">
        <v>0.3</v>
      </c>
      <c r="E105" s="69" t="s">
        <v>180</v>
      </c>
      <c r="F105" s="36">
        <f>F100*F101*0.6</f>
        <v>-3347.6949</v>
      </c>
      <c r="G105" s="33"/>
      <c r="I105" s="54" t="s">
        <v>159</v>
      </c>
      <c r="J105" s="34">
        <v>1.3</v>
      </c>
      <c r="K105" s="4"/>
      <c r="L105" s="4"/>
      <c r="M105" s="4"/>
      <c r="N105" s="4"/>
    </row>
    <row r="106">
      <c r="A106" s="54" t="s">
        <v>181</v>
      </c>
      <c r="B106" s="34">
        <v>0.1</v>
      </c>
      <c r="E106" s="54" t="s">
        <v>182</v>
      </c>
      <c r="F106" s="36">
        <f>F103+F104+F105</f>
        <v>50665.78465</v>
      </c>
      <c r="G106" s="33"/>
      <c r="K106" s="2"/>
    </row>
    <row r="107">
      <c r="A107" s="70" t="s">
        <v>183</v>
      </c>
      <c r="B107" s="34">
        <f>B91+B67+B38+B28+B16+J104</f>
        <v>364720262.9</v>
      </c>
      <c r="E107" s="54" t="s">
        <v>184</v>
      </c>
      <c r="F107" s="71">
        <v>321997.49</v>
      </c>
      <c r="G107" s="72">
        <f>F107</f>
        <v>321997.49</v>
      </c>
      <c r="K107" s="2"/>
    </row>
    <row r="108">
      <c r="A108" s="70" t="s">
        <v>185</v>
      </c>
      <c r="B108" s="34">
        <f>B107*((1+B98)+(B97+B100+B99+B101+B102+B103)/B96)</f>
        <v>1049272141</v>
      </c>
      <c r="E108" s="54" t="s">
        <v>186</v>
      </c>
      <c r="F108" s="36">
        <f>(2*(F107+F99)+0.5*F100)</f>
        <v>762002.93</v>
      </c>
      <c r="G108" s="54" t="s">
        <v>187</v>
      </c>
      <c r="K108" s="2"/>
    </row>
    <row r="109">
      <c r="A109" s="12" t="s">
        <v>188</v>
      </c>
      <c r="B109">
        <f>P28*((1+B98)+(B97+B100+B99+B101+B102+B103)/B95)</f>
        <v>26148158.52</v>
      </c>
      <c r="E109" s="54" t="s">
        <v>189</v>
      </c>
      <c r="F109" s="36">
        <f>F108/0.21</f>
        <v>3628585.381</v>
      </c>
      <c r="G109" s="33"/>
      <c r="K109" s="2"/>
    </row>
    <row r="110">
      <c r="A110" s="12" t="s">
        <v>190</v>
      </c>
      <c r="B110">
        <f>B109+B108</f>
        <v>1075420300</v>
      </c>
      <c r="C110" s="12" t="s">
        <v>191</v>
      </c>
      <c r="E110" s="54" t="s">
        <v>192</v>
      </c>
      <c r="F110" s="36">
        <f>F109*0.78</f>
        <v>2830296.597</v>
      </c>
      <c r="G110" s="54" t="s">
        <v>193</v>
      </c>
      <c r="K110" s="2"/>
    </row>
    <row r="111">
      <c r="E111" s="54" t="s">
        <v>194</v>
      </c>
      <c r="F111" s="36">
        <f>F109*0.01</f>
        <v>36285.85381</v>
      </c>
      <c r="G111" s="33"/>
      <c r="K111" s="2"/>
    </row>
    <row r="112">
      <c r="A112" s="33" t="s">
        <v>195</v>
      </c>
      <c r="B112" s="34">
        <f>B110*(1+B104)*(1+B105+B106)</f>
        <v>1957264945</v>
      </c>
      <c r="E112" s="54" t="s">
        <v>196</v>
      </c>
      <c r="F112" s="36">
        <f>F99+F107</f>
        <v>360251.29</v>
      </c>
      <c r="G112" s="33"/>
      <c r="K112" s="2"/>
    </row>
    <row r="113">
      <c r="A113" s="15" t="s">
        <v>197</v>
      </c>
      <c r="B113">
        <f>AA8</f>
        <v>13232.38944</v>
      </c>
      <c r="C113" s="12" t="s">
        <v>198</v>
      </c>
      <c r="E113" s="54" t="s">
        <v>199</v>
      </c>
      <c r="F113" s="34">
        <f>(F99+F107)*2+F100</f>
        <v>803503.28</v>
      </c>
      <c r="G113" s="33"/>
      <c r="K113" s="2"/>
    </row>
    <row r="114">
      <c r="A114" s="73" t="s">
        <v>200</v>
      </c>
      <c r="B114" s="74">
        <f>B112</f>
        <v>1957264945</v>
      </c>
      <c r="E114" s="54" t="s">
        <v>201</v>
      </c>
      <c r="F114" s="34">
        <f>F110+F111+F112+F113</f>
        <v>4030337.021</v>
      </c>
      <c r="G114" s="33"/>
      <c r="K114" s="2"/>
    </row>
    <row r="115">
      <c r="A115" s="15" t="s">
        <v>202</v>
      </c>
      <c r="B115">
        <f>B113-B114</f>
        <v>-1957251713</v>
      </c>
      <c r="E115" s="56" t="s">
        <v>203</v>
      </c>
      <c r="F115" s="34">
        <f>F110/F114</f>
        <v>0.7022481203</v>
      </c>
      <c r="G115" s="33"/>
      <c r="K115" s="2"/>
    </row>
    <row r="116">
      <c r="A116" s="2"/>
      <c r="E116" s="54" t="s">
        <v>204</v>
      </c>
      <c r="F116" s="34">
        <f>F111/F114</f>
        <v>0.009003181029</v>
      </c>
      <c r="G116" s="33"/>
      <c r="K116" s="2"/>
    </row>
    <row r="117">
      <c r="A117" s="2"/>
      <c r="E117" s="54" t="s">
        <v>205</v>
      </c>
      <c r="F117" s="36">
        <f>F112/F114</f>
        <v>0.08938490457</v>
      </c>
      <c r="G117" s="33"/>
      <c r="K117" s="2"/>
    </row>
    <row r="118">
      <c r="A118" s="2"/>
      <c r="E118" s="54" t="s">
        <v>206</v>
      </c>
      <c r="F118" s="36">
        <f>F113/F114</f>
        <v>0.1993637941</v>
      </c>
      <c r="G118" s="33"/>
      <c r="K118" s="2"/>
    </row>
    <row r="119">
      <c r="A119" s="2"/>
      <c r="E119" s="54" t="s">
        <v>207</v>
      </c>
      <c r="F119" s="36">
        <f>29.124</f>
        <v>29.124</v>
      </c>
      <c r="G119" s="33" t="s">
        <v>208</v>
      </c>
      <c r="K119" s="2"/>
    </row>
    <row r="120">
      <c r="A120" s="33" t="s">
        <v>209</v>
      </c>
      <c r="B120" s="34">
        <f>F125</f>
        <v>11856.25048</v>
      </c>
      <c r="C120" s="75" t="s">
        <v>210</v>
      </c>
      <c r="D120" s="33"/>
      <c r="E120" s="54" t="s">
        <v>211</v>
      </c>
      <c r="F120" s="34">
        <f>20.786</f>
        <v>20.786</v>
      </c>
      <c r="G120" s="33"/>
      <c r="K120" s="2"/>
    </row>
    <row r="121">
      <c r="A121" s="33" t="s">
        <v>212</v>
      </c>
      <c r="B121" s="34">
        <f>B120*0.3</f>
        <v>3556.875145</v>
      </c>
      <c r="C121" s="75" t="s">
        <v>210</v>
      </c>
      <c r="D121" s="33"/>
      <c r="E121" s="54" t="s">
        <v>213</v>
      </c>
      <c r="F121" s="34">
        <v>49.4675</v>
      </c>
      <c r="G121" s="33"/>
      <c r="K121" s="2"/>
    </row>
    <row r="122">
      <c r="A122" s="54" t="s">
        <v>214</v>
      </c>
      <c r="B122" s="34">
        <f>I140</f>
        <v>5960.770983</v>
      </c>
      <c r="C122" s="33"/>
      <c r="D122" s="33"/>
      <c r="E122" s="54" t="s">
        <v>215</v>
      </c>
      <c r="F122" s="34">
        <v>38.247</v>
      </c>
      <c r="G122" s="33"/>
      <c r="K122" s="2"/>
    </row>
    <row r="123">
      <c r="A123" s="75" t="s">
        <v>216</v>
      </c>
      <c r="B123" s="34">
        <f>20*10^3</f>
        <v>20000</v>
      </c>
      <c r="C123" s="33"/>
      <c r="D123" s="33"/>
      <c r="E123" s="56" t="s">
        <v>217</v>
      </c>
      <c r="F123" s="34">
        <f>(F119*F115+F120*F116+F121*F117+F122*F118)/(3600*10^3)</f>
        <v>0.000009079480327</v>
      </c>
      <c r="G123" s="33"/>
      <c r="K123" s="2"/>
    </row>
    <row r="124">
      <c r="A124" s="54" t="s">
        <v>218</v>
      </c>
      <c r="B124" s="34">
        <f>G140</f>
        <v>23139.81928</v>
      </c>
      <c r="C124" s="33"/>
      <c r="D124" s="33"/>
      <c r="E124" s="33" t="s">
        <v>219</v>
      </c>
      <c r="F124" s="34">
        <f>F114*F123*(1033-493)</f>
        <v>19760.41747</v>
      </c>
      <c r="G124" s="54" t="s">
        <v>220</v>
      </c>
      <c r="K124" s="2"/>
    </row>
    <row r="125">
      <c r="A125" s="54" t="s">
        <v>221</v>
      </c>
      <c r="B125" s="47">
        <v>45420.0</v>
      </c>
      <c r="C125" s="33"/>
      <c r="D125" s="33"/>
      <c r="E125" s="33" t="s">
        <v>222</v>
      </c>
      <c r="F125" s="34">
        <f>F124*0.6</f>
        <v>11856.25048</v>
      </c>
      <c r="G125" s="33"/>
      <c r="K125" s="2"/>
    </row>
    <row r="126">
      <c r="A126" s="75" t="s">
        <v>223</v>
      </c>
      <c r="B126">
        <f>B125* 270*8.26876804/1000</f>
        <v>101403.21</v>
      </c>
      <c r="C126" s="33">
        <f>B126*24*365</f>
        <v>888292119.4</v>
      </c>
      <c r="D126" s="33"/>
      <c r="E126" s="54" t="s">
        <v>224</v>
      </c>
      <c r="F126" s="34">
        <f>(G107*16)/1000</f>
        <v>5151.95984</v>
      </c>
      <c r="G126" s="33"/>
      <c r="K126" s="2"/>
    </row>
    <row r="127">
      <c r="A127" s="75" t="s">
        <v>225</v>
      </c>
      <c r="B127" s="33">
        <f>M137</f>
        <v>7195.920884</v>
      </c>
      <c r="C127" s="33"/>
      <c r="D127" s="33"/>
      <c r="E127" s="33"/>
      <c r="F127" s="33"/>
      <c r="G127" s="33"/>
      <c r="K127" s="2"/>
    </row>
    <row r="128">
      <c r="A128" s="33"/>
      <c r="B128" s="33"/>
      <c r="C128" s="33"/>
      <c r="D128" s="33"/>
      <c r="E128" s="36">
        <f>0</f>
        <v>0</v>
      </c>
      <c r="F128" s="36">
        <f>(F107+F99)*F102+(F100*F101)+F103+(F114*F123*(1033-298))</f>
        <v>-0.000399813729</v>
      </c>
      <c r="G128" s="33"/>
      <c r="K128" s="2"/>
    </row>
    <row r="129">
      <c r="A129" s="33"/>
      <c r="B129" s="33"/>
      <c r="C129" s="33"/>
      <c r="D129" s="33"/>
      <c r="K129" s="2"/>
    </row>
    <row r="130">
      <c r="A130" s="54" t="s">
        <v>226</v>
      </c>
      <c r="B130" s="34">
        <v>0.3</v>
      </c>
      <c r="C130" s="33"/>
      <c r="D130" s="33"/>
      <c r="K130" s="2"/>
    </row>
    <row r="131">
      <c r="A131" s="54" t="s">
        <v>227</v>
      </c>
      <c r="B131" s="34">
        <f>((4.21*8.26876804)/293.297222)</f>
        <v>0.1186902256</v>
      </c>
      <c r="C131" s="33" t="s">
        <v>228</v>
      </c>
      <c r="D131" s="34">
        <f>0.3*10^3/3.6</f>
        <v>83.33333333</v>
      </c>
      <c r="F131" s="76" t="s">
        <v>229</v>
      </c>
      <c r="G131" s="77">
        <f>24.37</f>
        <v>24.37</v>
      </c>
      <c r="H131" s="33" t="s">
        <v>230</v>
      </c>
      <c r="I131" s="77">
        <f>24.37</f>
        <v>24.37</v>
      </c>
      <c r="K131" s="78" t="s">
        <v>231</v>
      </c>
      <c r="L131" s="78"/>
      <c r="M131" s="78"/>
    </row>
    <row r="132">
      <c r="A132" s="33"/>
      <c r="B132" s="33"/>
      <c r="C132" s="33" t="s">
        <v>232</v>
      </c>
      <c r="D132" s="34">
        <f>30/0.6</f>
        <v>50</v>
      </c>
      <c r="F132" s="33" t="s">
        <v>233</v>
      </c>
      <c r="G132" s="34">
        <f>1.055</f>
        <v>1.055</v>
      </c>
      <c r="H132" s="33" t="s">
        <v>234</v>
      </c>
      <c r="I132" s="34">
        <f>1.055</f>
        <v>1.055</v>
      </c>
      <c r="K132" s="4" t="s">
        <v>235</v>
      </c>
      <c r="L132" s="4"/>
      <c r="M132" s="79">
        <v>4363.0</v>
      </c>
    </row>
    <row r="133">
      <c r="F133" s="33" t="s">
        <v>236</v>
      </c>
      <c r="G133" s="80">
        <f>20000</f>
        <v>20000</v>
      </c>
      <c r="H133" s="33"/>
      <c r="I133" s="80">
        <f>F126</f>
        <v>5151.95984</v>
      </c>
      <c r="K133" s="12" t="s">
        <v>237</v>
      </c>
      <c r="L133" s="4"/>
      <c r="M133" s="79">
        <v>18.0</v>
      </c>
    </row>
    <row r="134">
      <c r="F134" s="33" t="s">
        <v>238</v>
      </c>
      <c r="G134" s="81">
        <f>F102*3600*1000</f>
        <v>-804000</v>
      </c>
      <c r="H134" s="33"/>
      <c r="I134" s="81">
        <f>$F$102*3600*1000</f>
        <v>-804000</v>
      </c>
      <c r="K134" s="82" t="s">
        <v>239</v>
      </c>
      <c r="M134">
        <f>(M132*M133)/1000</f>
        <v>78.534</v>
      </c>
    </row>
    <row r="135">
      <c r="A135" s="66" t="s">
        <v>240</v>
      </c>
      <c r="B135" s="83"/>
      <c r="C135" s="33"/>
      <c r="F135" s="33" t="s">
        <v>241</v>
      </c>
      <c r="G135" s="34">
        <f>G131*(1/G132)</f>
        <v>23.09952607</v>
      </c>
      <c r="H135" s="33"/>
      <c r="I135" s="34">
        <f>I131*(1/I132)</f>
        <v>23.09952607</v>
      </c>
      <c r="K135" s="82" t="s">
        <v>242</v>
      </c>
      <c r="L135" s="4"/>
      <c r="M135" s="84">
        <f>8.76</f>
        <v>8.76</v>
      </c>
    </row>
    <row r="136">
      <c r="A136" s="33" t="s">
        <v>243</v>
      </c>
      <c r="B136" s="34">
        <f>60000*8.26876804*C136</f>
        <v>7441891.236</v>
      </c>
      <c r="C136" s="34">
        <v>15.0</v>
      </c>
      <c r="F136" s="33" t="s">
        <v>244</v>
      </c>
      <c r="G136" s="34">
        <f>12.02+(4*1.008)</f>
        <v>16.052</v>
      </c>
      <c r="H136" s="33"/>
      <c r="I136" s="34">
        <f>12.02+(4*1.008)</f>
        <v>16.052</v>
      </c>
      <c r="K136" s="12" t="s">
        <v>245</v>
      </c>
      <c r="M136" s="12">
        <v>10.4598283</v>
      </c>
    </row>
    <row r="137">
      <c r="A137" s="54" t="s">
        <v>246</v>
      </c>
      <c r="B137" s="34">
        <f>0.25*B136</f>
        <v>1860472.809</v>
      </c>
      <c r="C137" s="33"/>
      <c r="F137" s="33" t="s">
        <v>247</v>
      </c>
      <c r="G137" s="80">
        <f>G133/G136</f>
        <v>1245.95066</v>
      </c>
      <c r="H137" s="33"/>
      <c r="I137" s="80">
        <f>I133/I136</f>
        <v>320.9543882</v>
      </c>
      <c r="K137" s="85" t="s">
        <v>248</v>
      </c>
      <c r="L137" s="85"/>
      <c r="M137" s="86">
        <f>M134*M135*M136</f>
        <v>7195.920884</v>
      </c>
    </row>
    <row r="138">
      <c r="A138" s="54" t="s">
        <v>249</v>
      </c>
      <c r="B138" s="34">
        <f>B136*0.4+B137</f>
        <v>4837229.303</v>
      </c>
      <c r="C138" s="33"/>
      <c r="F138" s="33" t="s">
        <v>250</v>
      </c>
      <c r="G138" s="80">
        <f>-G137*G134</f>
        <v>1001744331</v>
      </c>
      <c r="H138" s="33"/>
      <c r="I138" s="80">
        <f>-I137*I134</f>
        <v>258047328.1</v>
      </c>
    </row>
    <row r="139">
      <c r="A139" s="33" t="s">
        <v>251</v>
      </c>
      <c r="B139" s="34">
        <f>(G140+I140)*352*24</f>
        <v>245841786.6</v>
      </c>
      <c r="C139" s="33"/>
      <c r="F139" s="33" t="s">
        <v>252</v>
      </c>
      <c r="G139" s="80">
        <f>G138/1000000</f>
        <v>1001.744331</v>
      </c>
      <c r="H139" s="33"/>
      <c r="I139" s="80">
        <f>I138/1000000</f>
        <v>258.0473281</v>
      </c>
      <c r="K139" s="2"/>
    </row>
    <row r="140">
      <c r="A140" s="33" t="s">
        <v>253</v>
      </c>
      <c r="B140" s="34">
        <f>M137*352*24</f>
        <v>60791139.63</v>
      </c>
      <c r="C140" s="33"/>
      <c r="F140" s="33" t="s">
        <v>254</v>
      </c>
      <c r="G140" s="87">
        <f>G135*G139</f>
        <v>23139.81928</v>
      </c>
      <c r="H140" s="88"/>
      <c r="I140" s="87">
        <f>I135*I139</f>
        <v>5960.770983</v>
      </c>
      <c r="J140">
        <f>G140+I140</f>
        <v>29100.59027</v>
      </c>
      <c r="K140" s="2"/>
    </row>
    <row r="141">
      <c r="A141" s="75" t="s">
        <v>255</v>
      </c>
      <c r="B141" s="34">
        <f>G145*352*24</f>
        <v>95698944</v>
      </c>
      <c r="C141" s="33"/>
      <c r="K141" s="2"/>
    </row>
    <row r="142">
      <c r="A142" s="33" t="s">
        <v>256</v>
      </c>
      <c r="B142" s="34">
        <v>0.0</v>
      </c>
      <c r="C142" s="33" t="s">
        <v>257</v>
      </c>
      <c r="D142" s="33"/>
      <c r="E142" s="33"/>
      <c r="F142" s="33"/>
      <c r="K142" s="2"/>
    </row>
    <row r="143">
      <c r="A143" s="33" t="s">
        <v>258</v>
      </c>
      <c r="B143" s="34">
        <f>B110*0.03</f>
        <v>32262608.99</v>
      </c>
      <c r="C143" s="33"/>
      <c r="F143" s="54" t="s">
        <v>259</v>
      </c>
      <c r="G143" s="33"/>
      <c r="K143" s="2"/>
    </row>
    <row r="144">
      <c r="A144" s="33" t="s">
        <v>260</v>
      </c>
      <c r="B144" s="34">
        <f>B136+B137+B138+B139+B140+B141+B142+B143</f>
        <v>448734072.5</v>
      </c>
      <c r="C144" s="33"/>
      <c r="F144" s="54" t="s">
        <v>261</v>
      </c>
      <c r="G144" s="34">
        <f>3.776*10^4</f>
        <v>37760</v>
      </c>
      <c r="K144" s="2"/>
    </row>
    <row r="145">
      <c r="A145" s="33"/>
      <c r="B145" s="33"/>
      <c r="C145" s="33"/>
      <c r="F145" s="89" t="s">
        <v>262</v>
      </c>
      <c r="G145" s="90">
        <f>G144*0.3</f>
        <v>11328</v>
      </c>
      <c r="K145" s="2"/>
    </row>
    <row r="146">
      <c r="A146" s="91" t="s">
        <v>263</v>
      </c>
      <c r="B146" s="33"/>
      <c r="C146" s="33"/>
      <c r="K146" s="2"/>
    </row>
    <row r="147">
      <c r="A147" s="33" t="s">
        <v>264</v>
      </c>
      <c r="B147" s="34">
        <f>B126*352*24</f>
        <v>856654317.9</v>
      </c>
      <c r="C147" s="33"/>
      <c r="K147" s="2"/>
    </row>
    <row r="148">
      <c r="A148" s="33" t="s">
        <v>265</v>
      </c>
      <c r="B148" s="34">
        <f>B113*352*24</f>
        <v>111787226</v>
      </c>
      <c r="C148" s="33"/>
      <c r="K148" s="2"/>
    </row>
    <row r="149">
      <c r="A149" s="33"/>
      <c r="B149" s="33"/>
      <c r="C149" s="33"/>
      <c r="K149" s="2"/>
    </row>
    <row r="150">
      <c r="A150" s="33" t="s">
        <v>44</v>
      </c>
      <c r="B150" s="34">
        <f>B147+B148</f>
        <v>968441543.9</v>
      </c>
      <c r="C150" s="33"/>
      <c r="K150" s="2"/>
    </row>
    <row r="151">
      <c r="A151" s="33"/>
      <c r="B151" s="33"/>
      <c r="C151" s="33"/>
      <c r="K151" s="2"/>
    </row>
    <row r="152">
      <c r="A152" s="92" t="s">
        <v>266</v>
      </c>
      <c r="B152" s="33"/>
      <c r="C152" s="33"/>
      <c r="K152" s="2"/>
    </row>
    <row r="153">
      <c r="A153" s="33" t="s">
        <v>267</v>
      </c>
      <c r="B153" s="34">
        <f>B110*0.01</f>
        <v>10754203</v>
      </c>
      <c r="C153" s="75" t="s">
        <v>268</v>
      </c>
      <c r="D153" s="34">
        <f>0.15*B122</f>
        <v>894.1156474</v>
      </c>
      <c r="K153" s="2"/>
    </row>
    <row r="154">
      <c r="A154" s="33"/>
      <c r="B154" s="33"/>
      <c r="C154" s="33"/>
      <c r="K154" s="2"/>
    </row>
    <row r="155">
      <c r="A155" s="93" t="s">
        <v>240</v>
      </c>
      <c r="B155" s="94"/>
      <c r="C155" s="93" t="s">
        <v>269</v>
      </c>
      <c r="D155" s="94"/>
      <c r="E155" s="93" t="s">
        <v>270</v>
      </c>
      <c r="F155" s="94"/>
      <c r="G155" s="94"/>
      <c r="H155" s="94" t="s">
        <v>263</v>
      </c>
      <c r="I155" s="94"/>
      <c r="J155" s="94" t="s">
        <v>271</v>
      </c>
      <c r="K155" s="94"/>
      <c r="L155" s="94"/>
    </row>
    <row r="156">
      <c r="A156" s="75" t="s">
        <v>272</v>
      </c>
      <c r="B156" s="34">
        <f>0.05*B114</f>
        <v>97863247.26</v>
      </c>
      <c r="C156" s="33" t="s">
        <v>251</v>
      </c>
      <c r="D156" s="34">
        <f>(B122+G140)*352*24</f>
        <v>245841786.6</v>
      </c>
      <c r="E156" s="33" t="s">
        <v>273</v>
      </c>
      <c r="F156" s="60">
        <f>60000*8.26876804*15</f>
        <v>7441891.236</v>
      </c>
      <c r="G156" s="33"/>
      <c r="H156" s="33" t="s">
        <v>274</v>
      </c>
      <c r="I156" s="34">
        <f>B126*352*24</f>
        <v>856654317.9</v>
      </c>
      <c r="J156" s="95" t="s">
        <v>275</v>
      </c>
      <c r="K156" s="34">
        <f>D161</f>
        <v>402331870.2</v>
      </c>
      <c r="L156" s="33"/>
    </row>
    <row r="157">
      <c r="A157" s="33"/>
      <c r="B157" s="33"/>
      <c r="C157" s="33" t="s">
        <v>253</v>
      </c>
      <c r="D157" s="34">
        <f>M137*352*24</f>
        <v>60791139.63</v>
      </c>
      <c r="E157" s="54" t="s">
        <v>246</v>
      </c>
      <c r="F157" s="80">
        <f>0.25*F156</f>
        <v>1860472.809</v>
      </c>
      <c r="G157" s="33"/>
      <c r="H157" s="33" t="s">
        <v>276</v>
      </c>
      <c r="I157" s="34">
        <f>B113*352*24</f>
        <v>111787226</v>
      </c>
      <c r="J157" s="96" t="s">
        <v>277</v>
      </c>
      <c r="K157" s="80">
        <f>F161</f>
        <v>57156405.33</v>
      </c>
      <c r="L157" s="33"/>
    </row>
    <row r="158">
      <c r="A158" s="33"/>
      <c r="B158" s="33"/>
      <c r="C158" s="33" t="s">
        <v>278</v>
      </c>
      <c r="D158" s="34">
        <f>G145*352*24</f>
        <v>95698944</v>
      </c>
      <c r="E158" s="54" t="s">
        <v>249</v>
      </c>
      <c r="F158" s="80">
        <f>F156*0.4+F157</f>
        <v>4837229.303</v>
      </c>
      <c r="G158" s="96" t="s">
        <v>279</v>
      </c>
      <c r="H158" s="33"/>
      <c r="I158" s="33"/>
      <c r="J158" s="33"/>
      <c r="K158" s="33"/>
      <c r="L158" s="33"/>
    </row>
    <row r="159">
      <c r="A159" s="33"/>
      <c r="B159" s="33"/>
      <c r="C159" s="33"/>
      <c r="D159" s="33"/>
      <c r="E159" s="33" t="s">
        <v>258</v>
      </c>
      <c r="F159" s="97">
        <f>B110*0.03</f>
        <v>32262608.99</v>
      </c>
      <c r="G159" s="96" t="s">
        <v>280</v>
      </c>
      <c r="H159" s="33"/>
      <c r="I159" s="33"/>
      <c r="J159" s="33"/>
      <c r="K159" s="33"/>
      <c r="L159" s="33"/>
    </row>
    <row r="160">
      <c r="A160" s="33"/>
      <c r="B160" s="33"/>
      <c r="C160" s="33"/>
      <c r="D160" s="33"/>
      <c r="E160" s="33" t="s">
        <v>267</v>
      </c>
      <c r="F160" s="80">
        <f>0.01*B110</f>
        <v>10754203</v>
      </c>
      <c r="G160" s="96" t="s">
        <v>281</v>
      </c>
      <c r="H160" s="33"/>
      <c r="I160" s="98" t="s">
        <v>282</v>
      </c>
      <c r="J160" s="33"/>
      <c r="K160" s="33"/>
      <c r="L160" s="33"/>
    </row>
    <row r="161">
      <c r="A161" s="54" t="s">
        <v>283</v>
      </c>
      <c r="B161" s="34">
        <f>B156</f>
        <v>97863247.26</v>
      </c>
      <c r="C161" s="33"/>
      <c r="D161" s="34">
        <f>sum(D156:D158)</f>
        <v>402331870.2</v>
      </c>
      <c r="E161" s="33"/>
      <c r="F161" s="80">
        <f>F156+F157+F158+F159+F160</f>
        <v>57156405.33</v>
      </c>
      <c r="G161" s="33"/>
      <c r="H161" s="33"/>
      <c r="I161" s="34">
        <f>I156+I157</f>
        <v>968441543.9</v>
      </c>
      <c r="J161" s="33"/>
      <c r="K161" s="34">
        <f>K156+K157</f>
        <v>459488275.5</v>
      </c>
      <c r="L161" s="33"/>
    </row>
    <row r="162">
      <c r="A162" s="33"/>
      <c r="B162" s="33"/>
      <c r="C162" s="33"/>
      <c r="D162" s="33"/>
      <c r="E162" s="33"/>
      <c r="F162" s="33"/>
      <c r="G162" s="33"/>
      <c r="H162" s="33"/>
      <c r="I162" s="33"/>
      <c r="J162" s="65"/>
      <c r="K162" s="65"/>
      <c r="L162" s="65"/>
    </row>
    <row r="163">
      <c r="A163" s="33"/>
      <c r="B163" s="33"/>
      <c r="C163" s="33"/>
      <c r="D163" s="94" t="s">
        <v>284</v>
      </c>
      <c r="E163" s="94" t="s">
        <v>285</v>
      </c>
      <c r="F163" s="33"/>
      <c r="G163" s="33"/>
      <c r="H163" s="33"/>
      <c r="I163" s="54" t="s">
        <v>286</v>
      </c>
      <c r="J163" s="99">
        <f>I161-K161</f>
        <v>508953268.4</v>
      </c>
      <c r="K163" s="65"/>
      <c r="L163" s="65"/>
    </row>
    <row r="164">
      <c r="A164" s="2"/>
      <c r="D164" s="34">
        <f>D161+F161</f>
        <v>459488275.5</v>
      </c>
      <c r="E164" s="34">
        <f>B114</f>
        <v>1957264945</v>
      </c>
      <c r="K164" s="2"/>
    </row>
    <row r="165">
      <c r="A165" s="2"/>
      <c r="K165" s="2"/>
    </row>
    <row r="166">
      <c r="A166" s="2"/>
      <c r="K166" s="2"/>
    </row>
    <row r="167">
      <c r="A167" s="2"/>
      <c r="K167" s="2"/>
    </row>
    <row r="168">
      <c r="A168" s="2"/>
      <c r="K168" s="2"/>
    </row>
    <row r="169">
      <c r="A169" s="2"/>
      <c r="K169" s="2"/>
    </row>
    <row r="170">
      <c r="A170" s="2"/>
      <c r="K170" s="2"/>
    </row>
    <row r="171">
      <c r="A171" s="2"/>
      <c r="K171" s="2"/>
    </row>
    <row r="172">
      <c r="A172" s="2"/>
      <c r="K172" s="2"/>
    </row>
    <row r="173">
      <c r="A173" s="2"/>
      <c r="K173" s="2"/>
    </row>
    <row r="174">
      <c r="A174" s="2"/>
      <c r="K174" s="2"/>
    </row>
    <row r="175">
      <c r="A175" s="2"/>
      <c r="K175" s="2"/>
    </row>
    <row r="176">
      <c r="A176" s="2"/>
      <c r="K176" s="2"/>
    </row>
    <row r="177">
      <c r="A177" s="2"/>
      <c r="K177" s="2"/>
    </row>
    <row r="178">
      <c r="A178" s="2"/>
      <c r="K178" s="2"/>
    </row>
    <row r="179">
      <c r="A179" s="2"/>
      <c r="K179" s="2"/>
    </row>
    <row r="180">
      <c r="A180" s="2"/>
      <c r="K180" s="2"/>
    </row>
    <row r="181">
      <c r="A181" s="2"/>
      <c r="K181" s="2"/>
    </row>
    <row r="182">
      <c r="A182" s="2"/>
      <c r="K182" s="2"/>
    </row>
    <row r="183">
      <c r="A183" s="2"/>
      <c r="K183" s="2"/>
    </row>
    <row r="184">
      <c r="A184" s="2"/>
      <c r="K184" s="2"/>
    </row>
    <row r="185">
      <c r="A185" s="2"/>
      <c r="K185" s="2"/>
    </row>
    <row r="186">
      <c r="A186" s="2"/>
      <c r="K186" s="2"/>
    </row>
    <row r="187">
      <c r="A187" s="2"/>
      <c r="K187" s="2"/>
    </row>
    <row r="188">
      <c r="A188" s="2"/>
      <c r="K188" s="2"/>
    </row>
    <row r="189">
      <c r="A189" s="2"/>
      <c r="K189" s="2"/>
    </row>
    <row r="190">
      <c r="A190" s="2"/>
      <c r="K190" s="2"/>
    </row>
    <row r="191">
      <c r="A191" s="2"/>
      <c r="K191" s="2"/>
    </row>
    <row r="192">
      <c r="A192" s="2"/>
      <c r="K192" s="2"/>
    </row>
    <row r="193">
      <c r="A193" s="2"/>
      <c r="K193" s="2"/>
    </row>
    <row r="194">
      <c r="A194" s="2"/>
      <c r="K194" s="2"/>
    </row>
    <row r="195">
      <c r="A195" s="2"/>
      <c r="K195" s="2"/>
    </row>
    <row r="196">
      <c r="A196" s="2"/>
      <c r="K196" s="2"/>
    </row>
    <row r="197">
      <c r="A197" s="2"/>
      <c r="K197" s="2"/>
    </row>
    <row r="198">
      <c r="A198" s="2"/>
      <c r="K198" s="2"/>
    </row>
    <row r="199">
      <c r="A199" s="2"/>
      <c r="K199" s="2"/>
    </row>
    <row r="200">
      <c r="A200" s="2"/>
      <c r="K200" s="2"/>
    </row>
    <row r="201">
      <c r="A201" s="2"/>
      <c r="K201" s="2"/>
    </row>
    <row r="202">
      <c r="A202" s="2"/>
      <c r="K202" s="2"/>
    </row>
    <row r="203">
      <c r="A203" s="2"/>
      <c r="K203" s="2"/>
    </row>
    <row r="204">
      <c r="A204" s="2"/>
      <c r="K204" s="2"/>
    </row>
    <row r="205">
      <c r="A205" s="2"/>
      <c r="K205" s="2"/>
    </row>
    <row r="206">
      <c r="A206" s="2"/>
      <c r="K206" s="2"/>
    </row>
    <row r="207">
      <c r="A207" s="2"/>
      <c r="K207" s="2"/>
    </row>
    <row r="208">
      <c r="A208" s="2"/>
      <c r="K208" s="2"/>
    </row>
    <row r="209">
      <c r="A209" s="2"/>
      <c r="K209" s="2"/>
    </row>
    <row r="210">
      <c r="A210" s="2"/>
      <c r="K210" s="2"/>
    </row>
    <row r="211">
      <c r="A211" s="2"/>
      <c r="K211" s="2"/>
    </row>
    <row r="212">
      <c r="A212" s="2"/>
      <c r="K212" s="2"/>
    </row>
    <row r="213">
      <c r="A213" s="2"/>
      <c r="K213" s="2"/>
    </row>
    <row r="214">
      <c r="A214" s="2"/>
      <c r="K214" s="2"/>
    </row>
    <row r="215">
      <c r="A215" s="2"/>
      <c r="K215" s="2"/>
    </row>
    <row r="216">
      <c r="A216" s="2"/>
      <c r="K216" s="2"/>
    </row>
    <row r="217">
      <c r="A217" s="2"/>
      <c r="K217" s="2"/>
    </row>
    <row r="218">
      <c r="A218" s="2"/>
      <c r="K218" s="2"/>
    </row>
    <row r="219">
      <c r="A219" s="2"/>
      <c r="K219" s="2"/>
    </row>
    <row r="220">
      <c r="A220" s="2"/>
      <c r="K220" s="2"/>
    </row>
    <row r="221">
      <c r="A221" s="2"/>
      <c r="K221" s="2"/>
    </row>
    <row r="222">
      <c r="A222" s="2"/>
      <c r="K222" s="2"/>
    </row>
    <row r="223">
      <c r="A223" s="2"/>
      <c r="K223" s="2"/>
    </row>
    <row r="224">
      <c r="A224" s="2"/>
      <c r="K224" s="2"/>
    </row>
    <row r="225">
      <c r="A225" s="2"/>
      <c r="K225" s="2"/>
    </row>
    <row r="226">
      <c r="A226" s="2"/>
      <c r="K226" s="2"/>
    </row>
    <row r="227">
      <c r="A227" s="2"/>
      <c r="K227" s="2"/>
    </row>
    <row r="228">
      <c r="A228" s="2"/>
      <c r="K228" s="2"/>
    </row>
    <row r="229">
      <c r="A229" s="2"/>
      <c r="K229" s="2"/>
    </row>
    <row r="230">
      <c r="A230" s="2"/>
      <c r="K230" s="2"/>
    </row>
    <row r="231">
      <c r="A231" s="2"/>
      <c r="K231" s="2"/>
    </row>
    <row r="232">
      <c r="A232" s="2"/>
      <c r="K232" s="2"/>
    </row>
    <row r="233">
      <c r="A233" s="2"/>
      <c r="K233" s="2"/>
    </row>
    <row r="234">
      <c r="A234" s="2"/>
      <c r="K234" s="2"/>
    </row>
    <row r="235">
      <c r="A235" s="2"/>
      <c r="K235" s="2"/>
    </row>
    <row r="236">
      <c r="A236" s="2"/>
      <c r="K236" s="2"/>
    </row>
    <row r="237">
      <c r="A237" s="2"/>
      <c r="K237" s="2"/>
    </row>
    <row r="238">
      <c r="A238" s="2"/>
      <c r="K238" s="2"/>
    </row>
    <row r="239">
      <c r="A239" s="2"/>
      <c r="K239" s="2"/>
    </row>
    <row r="240">
      <c r="A240" s="2"/>
      <c r="K240" s="2"/>
    </row>
    <row r="241">
      <c r="A241" s="2"/>
      <c r="K241" s="2"/>
    </row>
    <row r="242">
      <c r="A242" s="2"/>
      <c r="K242" s="2"/>
    </row>
    <row r="243">
      <c r="A243" s="2"/>
      <c r="K243" s="2"/>
    </row>
    <row r="244">
      <c r="A244" s="2"/>
      <c r="K244" s="2"/>
    </row>
    <row r="245">
      <c r="A245" s="2"/>
      <c r="K245" s="2"/>
    </row>
    <row r="246">
      <c r="A246" s="2"/>
      <c r="K246" s="2"/>
    </row>
    <row r="247">
      <c r="A247" s="2"/>
      <c r="K247" s="2"/>
    </row>
    <row r="248">
      <c r="A248" s="2"/>
      <c r="K248" s="2"/>
    </row>
    <row r="249">
      <c r="A249" s="2"/>
      <c r="K249" s="2"/>
    </row>
    <row r="250">
      <c r="A250" s="2"/>
      <c r="K250" s="2"/>
    </row>
    <row r="251">
      <c r="A251" s="2"/>
      <c r="K251" s="2"/>
    </row>
    <row r="252">
      <c r="A252" s="2"/>
      <c r="K252" s="2"/>
    </row>
    <row r="253">
      <c r="A253" s="2"/>
      <c r="K253" s="2"/>
    </row>
    <row r="254">
      <c r="A254" s="2"/>
      <c r="K254" s="2"/>
    </row>
    <row r="255">
      <c r="A255" s="2"/>
      <c r="K255" s="2"/>
    </row>
    <row r="256">
      <c r="A256" s="2"/>
      <c r="K256" s="2"/>
    </row>
    <row r="257">
      <c r="A257" s="2"/>
      <c r="K257" s="2"/>
    </row>
    <row r="258">
      <c r="A258" s="2"/>
      <c r="K258" s="2"/>
    </row>
    <row r="259">
      <c r="A259" s="2"/>
      <c r="K259" s="2"/>
    </row>
    <row r="260">
      <c r="A260" s="2"/>
      <c r="K260" s="2"/>
    </row>
    <row r="261">
      <c r="A261" s="2"/>
      <c r="K261" s="2"/>
    </row>
    <row r="262">
      <c r="A262" s="2"/>
      <c r="K262" s="2"/>
    </row>
    <row r="263">
      <c r="A263" s="2"/>
      <c r="K263" s="2"/>
    </row>
    <row r="264">
      <c r="A264" s="2"/>
      <c r="K264" s="2"/>
    </row>
    <row r="265">
      <c r="A265" s="2"/>
      <c r="K265" s="2"/>
    </row>
    <row r="266">
      <c r="A266" s="2"/>
      <c r="K266" s="2"/>
    </row>
    <row r="267">
      <c r="A267" s="2"/>
      <c r="K267" s="2"/>
    </row>
    <row r="268">
      <c r="A268" s="2"/>
      <c r="K268" s="2"/>
    </row>
    <row r="269">
      <c r="A269" s="2"/>
      <c r="K269" s="2"/>
    </row>
    <row r="270">
      <c r="A270" s="2"/>
      <c r="K270" s="2"/>
    </row>
    <row r="271">
      <c r="A271" s="2"/>
      <c r="K271" s="2"/>
    </row>
    <row r="272">
      <c r="A272" s="2"/>
      <c r="K272" s="2"/>
    </row>
    <row r="273">
      <c r="A273" s="2"/>
      <c r="K273" s="2"/>
    </row>
    <row r="274">
      <c r="A274" s="2"/>
      <c r="K274" s="2"/>
    </row>
    <row r="275">
      <c r="A275" s="2"/>
      <c r="K275" s="2"/>
    </row>
    <row r="276">
      <c r="A276" s="2"/>
      <c r="K276" s="2"/>
    </row>
    <row r="277">
      <c r="A277" s="2"/>
      <c r="K277" s="2"/>
    </row>
    <row r="278">
      <c r="A278" s="2"/>
      <c r="K278" s="2"/>
    </row>
    <row r="279">
      <c r="A279" s="2"/>
      <c r="K279" s="2"/>
    </row>
    <row r="280">
      <c r="A280" s="2"/>
      <c r="K280" s="2"/>
    </row>
    <row r="281">
      <c r="A281" s="2"/>
      <c r="K281" s="2"/>
    </row>
    <row r="282">
      <c r="A282" s="2"/>
      <c r="K282" s="2"/>
    </row>
    <row r="283">
      <c r="A283" s="2"/>
      <c r="K283" s="2"/>
    </row>
    <row r="284">
      <c r="A284" s="2"/>
      <c r="K284" s="2"/>
    </row>
    <row r="285">
      <c r="A285" s="2"/>
      <c r="K285" s="2"/>
    </row>
    <row r="286">
      <c r="A286" s="2"/>
      <c r="K286" s="2"/>
    </row>
    <row r="287">
      <c r="A287" s="2"/>
      <c r="K287" s="2"/>
    </row>
    <row r="288">
      <c r="A288" s="2"/>
      <c r="K288" s="2"/>
    </row>
    <row r="289">
      <c r="A289" s="2"/>
      <c r="K289" s="2"/>
    </row>
    <row r="290">
      <c r="A290" s="2"/>
      <c r="K290" s="2"/>
    </row>
    <row r="291">
      <c r="A291" s="2"/>
      <c r="K291" s="2"/>
    </row>
    <row r="292">
      <c r="A292" s="2"/>
      <c r="K292" s="2"/>
    </row>
    <row r="293">
      <c r="A293" s="2"/>
      <c r="K293" s="2"/>
    </row>
    <row r="294">
      <c r="A294" s="2"/>
      <c r="K294" s="2"/>
    </row>
    <row r="295">
      <c r="A295" s="2"/>
      <c r="K295" s="2"/>
    </row>
    <row r="296">
      <c r="A296" s="2"/>
      <c r="K296" s="2"/>
    </row>
    <row r="297">
      <c r="A297" s="2"/>
      <c r="K297" s="2"/>
    </row>
    <row r="298">
      <c r="A298" s="2"/>
      <c r="K298" s="2"/>
    </row>
    <row r="299">
      <c r="A299" s="2"/>
      <c r="K299" s="2"/>
    </row>
    <row r="300">
      <c r="A300" s="2"/>
      <c r="K300" s="2"/>
    </row>
    <row r="301">
      <c r="A301" s="2"/>
      <c r="K301" s="2"/>
    </row>
    <row r="302">
      <c r="A302" s="2"/>
      <c r="K302" s="2"/>
    </row>
    <row r="303">
      <c r="A303" s="2"/>
      <c r="K303" s="2"/>
    </row>
    <row r="304">
      <c r="A304" s="2"/>
      <c r="K304" s="2"/>
    </row>
    <row r="305">
      <c r="A305" s="2"/>
      <c r="K305" s="2"/>
    </row>
    <row r="306">
      <c r="A306" s="2"/>
      <c r="K306" s="2"/>
    </row>
    <row r="307">
      <c r="A307" s="2"/>
      <c r="K307" s="2"/>
    </row>
    <row r="308">
      <c r="A308" s="2"/>
      <c r="K308" s="2"/>
    </row>
    <row r="309">
      <c r="A309" s="2"/>
      <c r="K309" s="2"/>
    </row>
    <row r="310">
      <c r="A310" s="2"/>
      <c r="K310" s="2"/>
    </row>
    <row r="311">
      <c r="A311" s="2"/>
      <c r="K311" s="2"/>
    </row>
    <row r="312">
      <c r="A312" s="2"/>
      <c r="K312" s="2"/>
    </row>
    <row r="313">
      <c r="A313" s="2"/>
      <c r="K313" s="2"/>
    </row>
    <row r="314">
      <c r="A314" s="2"/>
      <c r="K314" s="2"/>
    </row>
    <row r="315">
      <c r="A315" s="2"/>
      <c r="K315" s="2"/>
    </row>
    <row r="316">
      <c r="A316" s="2"/>
      <c r="K316" s="2"/>
    </row>
    <row r="317">
      <c r="A317" s="2"/>
      <c r="K317" s="2"/>
    </row>
    <row r="318">
      <c r="A318" s="2"/>
      <c r="K318" s="2"/>
    </row>
    <row r="319">
      <c r="A319" s="2"/>
      <c r="K319" s="2"/>
    </row>
    <row r="320">
      <c r="A320" s="2"/>
      <c r="K320" s="2"/>
    </row>
    <row r="321">
      <c r="A321" s="2"/>
      <c r="K321" s="2"/>
    </row>
    <row r="322">
      <c r="A322" s="2"/>
      <c r="K322" s="2"/>
    </row>
    <row r="323">
      <c r="A323" s="2"/>
      <c r="K323" s="2"/>
    </row>
    <row r="324">
      <c r="A324" s="2"/>
      <c r="K324" s="2"/>
    </row>
    <row r="325">
      <c r="A325" s="2"/>
      <c r="K325" s="2"/>
    </row>
    <row r="326">
      <c r="A326" s="2"/>
      <c r="K326" s="2"/>
    </row>
    <row r="327">
      <c r="A327" s="2"/>
      <c r="K327" s="2"/>
    </row>
    <row r="328">
      <c r="A328" s="2"/>
      <c r="K328" s="2"/>
    </row>
    <row r="329">
      <c r="A329" s="2"/>
      <c r="K329" s="2"/>
    </row>
    <row r="330">
      <c r="A330" s="2"/>
      <c r="K330" s="2"/>
    </row>
    <row r="331">
      <c r="A331" s="2"/>
      <c r="K331" s="2"/>
    </row>
    <row r="332">
      <c r="A332" s="2"/>
      <c r="K332" s="2"/>
    </row>
    <row r="333">
      <c r="A333" s="2"/>
      <c r="K333" s="2"/>
    </row>
    <row r="334">
      <c r="A334" s="2"/>
      <c r="K334" s="2"/>
    </row>
    <row r="335">
      <c r="A335" s="2"/>
      <c r="K335" s="2"/>
    </row>
    <row r="336">
      <c r="A336" s="2"/>
      <c r="K336" s="2"/>
    </row>
    <row r="337">
      <c r="A337" s="2"/>
      <c r="K337" s="2"/>
    </row>
    <row r="338">
      <c r="A338" s="2"/>
      <c r="K338" s="2"/>
    </row>
    <row r="339">
      <c r="A339" s="2"/>
      <c r="K339" s="2"/>
    </row>
    <row r="340">
      <c r="A340" s="2"/>
      <c r="K340" s="2"/>
    </row>
    <row r="341">
      <c r="A341" s="2"/>
      <c r="K341" s="2"/>
    </row>
    <row r="342">
      <c r="A342" s="2"/>
      <c r="K342" s="2"/>
    </row>
    <row r="343">
      <c r="A343" s="2"/>
      <c r="K343" s="2"/>
    </row>
    <row r="344">
      <c r="A344" s="2"/>
      <c r="K344" s="2"/>
    </row>
    <row r="345">
      <c r="A345" s="2"/>
      <c r="K345" s="2"/>
    </row>
    <row r="346">
      <c r="A346" s="2"/>
      <c r="K346" s="2"/>
    </row>
    <row r="347">
      <c r="A347" s="2"/>
      <c r="K347" s="2"/>
    </row>
    <row r="348">
      <c r="A348" s="2"/>
      <c r="K348" s="2"/>
    </row>
    <row r="349">
      <c r="A349" s="2"/>
      <c r="K349" s="2"/>
    </row>
    <row r="350">
      <c r="A350" s="2"/>
      <c r="K350" s="2"/>
    </row>
    <row r="351">
      <c r="A351" s="2"/>
      <c r="K351" s="2"/>
    </row>
    <row r="352">
      <c r="A352" s="2"/>
      <c r="K352" s="2"/>
    </row>
    <row r="353">
      <c r="A353" s="2"/>
      <c r="K353" s="2"/>
    </row>
    <row r="354">
      <c r="A354" s="2"/>
      <c r="K354" s="2"/>
    </row>
    <row r="355">
      <c r="A355" s="2"/>
      <c r="K355" s="2"/>
    </row>
    <row r="356">
      <c r="A356" s="2"/>
      <c r="K356" s="2"/>
    </row>
    <row r="357">
      <c r="A357" s="2"/>
      <c r="K357" s="2"/>
    </row>
    <row r="358">
      <c r="A358" s="2"/>
      <c r="K358" s="2"/>
    </row>
    <row r="359">
      <c r="A359" s="2"/>
      <c r="K359" s="2"/>
    </row>
    <row r="360">
      <c r="A360" s="2"/>
      <c r="K360" s="2"/>
    </row>
    <row r="361">
      <c r="A361" s="2"/>
      <c r="K361" s="2"/>
    </row>
    <row r="362">
      <c r="A362" s="2"/>
      <c r="K362" s="2"/>
    </row>
    <row r="363">
      <c r="A363" s="2"/>
      <c r="K363" s="2"/>
    </row>
    <row r="364">
      <c r="A364" s="2"/>
      <c r="K364" s="2"/>
    </row>
    <row r="365">
      <c r="A365" s="2"/>
      <c r="K365" s="2"/>
    </row>
    <row r="366">
      <c r="A366" s="2"/>
      <c r="K366" s="2"/>
    </row>
    <row r="367">
      <c r="A367" s="2"/>
      <c r="K367" s="2"/>
    </row>
    <row r="368">
      <c r="A368" s="2"/>
      <c r="K368" s="2"/>
    </row>
    <row r="369">
      <c r="A369" s="2"/>
      <c r="K369" s="2"/>
    </row>
    <row r="370">
      <c r="A370" s="2"/>
      <c r="K370" s="2"/>
    </row>
    <row r="371">
      <c r="A371" s="2"/>
      <c r="K371" s="2"/>
    </row>
    <row r="372">
      <c r="A372" s="2"/>
      <c r="K372" s="2"/>
    </row>
    <row r="373">
      <c r="A373" s="2"/>
      <c r="K373" s="2"/>
    </row>
    <row r="374">
      <c r="A374" s="2"/>
      <c r="K374" s="2"/>
    </row>
    <row r="375">
      <c r="A375" s="2"/>
      <c r="K375" s="2"/>
    </row>
    <row r="376">
      <c r="A376" s="2"/>
      <c r="K376" s="2"/>
    </row>
    <row r="377">
      <c r="A377" s="2"/>
      <c r="K377" s="2"/>
    </row>
    <row r="378">
      <c r="A378" s="2"/>
      <c r="K378" s="2"/>
    </row>
    <row r="379">
      <c r="A379" s="2"/>
      <c r="K379" s="2"/>
    </row>
    <row r="380">
      <c r="A380" s="2"/>
      <c r="K380" s="2"/>
    </row>
    <row r="381">
      <c r="A381" s="2"/>
      <c r="K381" s="2"/>
    </row>
    <row r="382">
      <c r="A382" s="2"/>
      <c r="K382" s="2"/>
    </row>
    <row r="383">
      <c r="A383" s="2"/>
      <c r="K383" s="2"/>
    </row>
    <row r="384">
      <c r="A384" s="2"/>
      <c r="K384" s="2"/>
    </row>
    <row r="385">
      <c r="A385" s="2"/>
      <c r="K385" s="2"/>
    </row>
    <row r="386">
      <c r="A386" s="2"/>
      <c r="K386" s="2"/>
    </row>
    <row r="387">
      <c r="A387" s="2"/>
      <c r="K387" s="2"/>
    </row>
    <row r="388">
      <c r="A388" s="2"/>
      <c r="K388" s="2"/>
    </row>
    <row r="389">
      <c r="A389" s="2"/>
      <c r="K389" s="2"/>
    </row>
    <row r="390">
      <c r="A390" s="2"/>
      <c r="K390" s="2"/>
    </row>
    <row r="391">
      <c r="A391" s="2"/>
      <c r="K391" s="2"/>
    </row>
    <row r="392">
      <c r="A392" s="2"/>
      <c r="K392" s="2"/>
    </row>
    <row r="393">
      <c r="A393" s="2"/>
      <c r="K393" s="2"/>
    </row>
    <row r="394">
      <c r="A394" s="2"/>
      <c r="K394" s="2"/>
    </row>
    <row r="395">
      <c r="A395" s="2"/>
      <c r="K395" s="2"/>
    </row>
    <row r="396">
      <c r="A396" s="2"/>
      <c r="K396" s="2"/>
    </row>
    <row r="397">
      <c r="A397" s="2"/>
      <c r="K397" s="2"/>
    </row>
    <row r="398">
      <c r="A398" s="2"/>
      <c r="K398" s="2"/>
    </row>
    <row r="399">
      <c r="A399" s="2"/>
      <c r="K399" s="2"/>
    </row>
    <row r="400">
      <c r="A400" s="2"/>
      <c r="K400" s="2"/>
    </row>
    <row r="401">
      <c r="A401" s="2"/>
      <c r="K401" s="2"/>
    </row>
    <row r="402">
      <c r="A402" s="2"/>
      <c r="K402" s="2"/>
    </row>
    <row r="403">
      <c r="A403" s="2"/>
      <c r="K403" s="2"/>
    </row>
    <row r="404">
      <c r="A404" s="2"/>
      <c r="K404" s="2"/>
    </row>
    <row r="405">
      <c r="A405" s="2"/>
      <c r="K405" s="2"/>
    </row>
    <row r="406">
      <c r="A406" s="2"/>
      <c r="K406" s="2"/>
    </row>
    <row r="407">
      <c r="A407" s="2"/>
      <c r="K407" s="2"/>
    </row>
    <row r="408">
      <c r="A408" s="2"/>
      <c r="K408" s="2"/>
    </row>
    <row r="409">
      <c r="A409" s="2"/>
      <c r="K409" s="2"/>
    </row>
    <row r="410">
      <c r="A410" s="2"/>
      <c r="K410" s="2"/>
    </row>
    <row r="411">
      <c r="A411" s="2"/>
      <c r="K411" s="2"/>
    </row>
    <row r="412">
      <c r="A412" s="2"/>
      <c r="K412" s="2"/>
    </row>
    <row r="413">
      <c r="A413" s="2"/>
      <c r="K413" s="2"/>
    </row>
    <row r="414">
      <c r="A414" s="2"/>
      <c r="K414" s="2"/>
    </row>
    <row r="415">
      <c r="A415" s="2"/>
      <c r="K415" s="2"/>
    </row>
    <row r="416">
      <c r="A416" s="2"/>
      <c r="K416" s="2"/>
    </row>
    <row r="417">
      <c r="A417" s="2"/>
      <c r="K417" s="2"/>
    </row>
    <row r="418">
      <c r="A418" s="2"/>
      <c r="K418" s="2"/>
    </row>
    <row r="419">
      <c r="A419" s="2"/>
      <c r="K419" s="2"/>
    </row>
    <row r="420">
      <c r="A420" s="2"/>
      <c r="K420" s="2"/>
    </row>
    <row r="421">
      <c r="A421" s="2"/>
      <c r="K421" s="2"/>
    </row>
    <row r="422">
      <c r="A422" s="2"/>
      <c r="K422" s="2"/>
    </row>
    <row r="423">
      <c r="A423" s="2"/>
      <c r="K423" s="2"/>
    </row>
    <row r="424">
      <c r="A424" s="2"/>
      <c r="K424" s="2"/>
    </row>
    <row r="425">
      <c r="A425" s="2"/>
      <c r="K425" s="2"/>
    </row>
    <row r="426">
      <c r="A426" s="2"/>
      <c r="K426" s="2"/>
    </row>
    <row r="427">
      <c r="A427" s="2"/>
      <c r="K427" s="2"/>
    </row>
    <row r="428">
      <c r="A428" s="2"/>
      <c r="K428" s="2"/>
    </row>
    <row r="429">
      <c r="A429" s="2"/>
      <c r="K429" s="2"/>
    </row>
    <row r="430">
      <c r="A430" s="2"/>
      <c r="K430" s="2"/>
    </row>
    <row r="431">
      <c r="A431" s="2"/>
      <c r="K431" s="2"/>
    </row>
    <row r="432">
      <c r="A432" s="2"/>
      <c r="K432" s="2"/>
    </row>
    <row r="433">
      <c r="A433" s="2"/>
      <c r="K433" s="2"/>
    </row>
    <row r="434">
      <c r="A434" s="2"/>
      <c r="K434" s="2"/>
    </row>
    <row r="435">
      <c r="A435" s="2"/>
      <c r="K435" s="2"/>
    </row>
    <row r="436">
      <c r="A436" s="2"/>
      <c r="K436" s="2"/>
    </row>
    <row r="437">
      <c r="A437" s="2"/>
      <c r="K437" s="2"/>
    </row>
    <row r="438">
      <c r="A438" s="2"/>
      <c r="K438" s="2"/>
    </row>
    <row r="439">
      <c r="A439" s="2"/>
      <c r="K439" s="2"/>
    </row>
    <row r="440">
      <c r="A440" s="2"/>
      <c r="K440" s="2"/>
    </row>
    <row r="441">
      <c r="A441" s="2"/>
      <c r="K441" s="2"/>
    </row>
    <row r="442">
      <c r="A442" s="2"/>
      <c r="K442" s="2"/>
    </row>
    <row r="443">
      <c r="A443" s="2"/>
      <c r="K443" s="2"/>
    </row>
    <row r="444">
      <c r="A444" s="2"/>
      <c r="K444" s="2"/>
    </row>
    <row r="445">
      <c r="A445" s="2"/>
      <c r="K445" s="2"/>
    </row>
    <row r="446">
      <c r="A446" s="2"/>
      <c r="K446" s="2"/>
    </row>
    <row r="447">
      <c r="A447" s="2"/>
      <c r="K447" s="2"/>
    </row>
    <row r="448">
      <c r="A448" s="2"/>
      <c r="K448" s="2"/>
    </row>
    <row r="449">
      <c r="A449" s="2"/>
      <c r="K449" s="2"/>
    </row>
    <row r="450">
      <c r="A450" s="2"/>
      <c r="K450" s="2"/>
    </row>
    <row r="451">
      <c r="A451" s="2"/>
      <c r="K451" s="2"/>
    </row>
    <row r="452">
      <c r="A452" s="2"/>
      <c r="K452" s="2"/>
    </row>
    <row r="453">
      <c r="A453" s="2"/>
      <c r="K453" s="2"/>
    </row>
    <row r="454">
      <c r="A454" s="2"/>
      <c r="K454" s="2"/>
    </row>
    <row r="455">
      <c r="A455" s="2"/>
      <c r="K455" s="2"/>
    </row>
    <row r="456">
      <c r="A456" s="2"/>
      <c r="K456" s="2"/>
    </row>
    <row r="457">
      <c r="A457" s="2"/>
      <c r="K457" s="2"/>
    </row>
    <row r="458">
      <c r="A458" s="2"/>
      <c r="K458" s="2"/>
    </row>
    <row r="459">
      <c r="A459" s="2"/>
      <c r="K459" s="2"/>
    </row>
    <row r="460">
      <c r="A460" s="2"/>
      <c r="K460" s="2"/>
    </row>
    <row r="461">
      <c r="A461" s="2"/>
      <c r="K461" s="2"/>
    </row>
    <row r="462">
      <c r="A462" s="2"/>
      <c r="K462" s="2"/>
    </row>
    <row r="463">
      <c r="A463" s="2"/>
      <c r="K463" s="2"/>
    </row>
    <row r="464">
      <c r="A464" s="2"/>
      <c r="K464" s="2"/>
    </row>
    <row r="465">
      <c r="A465" s="2"/>
      <c r="K465" s="2"/>
    </row>
    <row r="466">
      <c r="A466" s="2"/>
      <c r="K466" s="2"/>
    </row>
    <row r="467">
      <c r="A467" s="2"/>
      <c r="K467" s="2"/>
    </row>
    <row r="468">
      <c r="A468" s="2"/>
      <c r="K468" s="2"/>
    </row>
    <row r="469">
      <c r="A469" s="2"/>
      <c r="K469" s="2"/>
    </row>
    <row r="470">
      <c r="A470" s="2"/>
      <c r="K470" s="2"/>
    </row>
    <row r="471">
      <c r="A471" s="2"/>
      <c r="K471" s="2"/>
    </row>
    <row r="472">
      <c r="A472" s="2"/>
      <c r="K472" s="2"/>
    </row>
    <row r="473">
      <c r="A473" s="2"/>
      <c r="K473" s="2"/>
    </row>
    <row r="474">
      <c r="A474" s="2"/>
      <c r="K474" s="2"/>
    </row>
    <row r="475">
      <c r="A475" s="2"/>
      <c r="K475" s="2"/>
    </row>
    <row r="476">
      <c r="A476" s="2"/>
      <c r="K476" s="2"/>
    </row>
    <row r="477">
      <c r="A477" s="2"/>
      <c r="K477" s="2"/>
    </row>
    <row r="478">
      <c r="A478" s="2"/>
      <c r="K478" s="2"/>
    </row>
    <row r="479">
      <c r="A479" s="2"/>
      <c r="K479" s="2"/>
    </row>
    <row r="480">
      <c r="A480" s="2"/>
      <c r="K480" s="2"/>
    </row>
    <row r="481">
      <c r="A481" s="2"/>
      <c r="K481" s="2"/>
    </row>
    <row r="482">
      <c r="A482" s="2"/>
      <c r="K482" s="2"/>
    </row>
    <row r="483">
      <c r="A483" s="2"/>
      <c r="K483" s="2"/>
    </row>
    <row r="484">
      <c r="A484" s="2"/>
      <c r="K484" s="2"/>
    </row>
    <row r="485">
      <c r="A485" s="2"/>
      <c r="K485" s="2"/>
    </row>
    <row r="486">
      <c r="A486" s="2"/>
      <c r="K486" s="2"/>
    </row>
    <row r="487">
      <c r="A487" s="2"/>
      <c r="K487" s="2"/>
    </row>
    <row r="488">
      <c r="A488" s="2"/>
      <c r="K488" s="2"/>
    </row>
    <row r="489">
      <c r="A489" s="2"/>
      <c r="K489" s="2"/>
    </row>
    <row r="490">
      <c r="A490" s="2"/>
      <c r="K490" s="2"/>
    </row>
    <row r="491">
      <c r="A491" s="2"/>
      <c r="K491" s="2"/>
    </row>
    <row r="492">
      <c r="A492" s="2"/>
      <c r="K492" s="2"/>
    </row>
    <row r="493">
      <c r="A493" s="2"/>
      <c r="K493" s="2"/>
    </row>
    <row r="494">
      <c r="A494" s="2"/>
      <c r="K494" s="2"/>
    </row>
    <row r="495">
      <c r="A495" s="2"/>
      <c r="K495" s="2"/>
    </row>
    <row r="496">
      <c r="A496" s="2"/>
      <c r="K496" s="2"/>
    </row>
    <row r="497">
      <c r="A497" s="2"/>
      <c r="K497" s="2"/>
    </row>
    <row r="498">
      <c r="A498" s="2"/>
      <c r="K498" s="2"/>
    </row>
    <row r="499">
      <c r="A499" s="2"/>
      <c r="K499" s="2"/>
    </row>
    <row r="500">
      <c r="A500" s="2"/>
      <c r="K500" s="2"/>
    </row>
    <row r="501">
      <c r="A501" s="2"/>
      <c r="K501" s="2"/>
    </row>
    <row r="502">
      <c r="A502" s="2"/>
      <c r="K502" s="2"/>
    </row>
    <row r="503">
      <c r="A503" s="2"/>
      <c r="K503" s="2"/>
    </row>
    <row r="504">
      <c r="A504" s="2"/>
      <c r="K504" s="2"/>
    </row>
    <row r="505">
      <c r="A505" s="2"/>
      <c r="K505" s="2"/>
    </row>
    <row r="506">
      <c r="A506" s="2"/>
      <c r="K506" s="2"/>
    </row>
    <row r="507">
      <c r="A507" s="2"/>
      <c r="K507" s="2"/>
    </row>
    <row r="508">
      <c r="A508" s="2"/>
      <c r="K508" s="2"/>
    </row>
    <row r="509">
      <c r="A509" s="2"/>
      <c r="K509" s="2"/>
    </row>
    <row r="510">
      <c r="A510" s="2"/>
      <c r="K510" s="2"/>
    </row>
    <row r="511">
      <c r="A511" s="2"/>
      <c r="K511" s="2"/>
    </row>
    <row r="512">
      <c r="A512" s="2"/>
      <c r="K512" s="2"/>
    </row>
    <row r="513">
      <c r="A513" s="2"/>
      <c r="K513" s="2"/>
    </row>
    <row r="514">
      <c r="A514" s="2"/>
      <c r="K514" s="2"/>
    </row>
    <row r="515">
      <c r="A515" s="2"/>
      <c r="K515" s="2"/>
    </row>
    <row r="516">
      <c r="A516" s="2"/>
      <c r="K516" s="2"/>
    </row>
    <row r="517">
      <c r="A517" s="2"/>
      <c r="K517" s="2"/>
    </row>
    <row r="518">
      <c r="A518" s="2"/>
      <c r="K518" s="2"/>
    </row>
    <row r="519">
      <c r="A519" s="2"/>
      <c r="K519" s="2"/>
    </row>
    <row r="520">
      <c r="A520" s="2"/>
      <c r="K520" s="2"/>
    </row>
    <row r="521">
      <c r="A521" s="2"/>
      <c r="K521" s="2"/>
    </row>
    <row r="522">
      <c r="A522" s="2"/>
      <c r="K522" s="2"/>
    </row>
    <row r="523">
      <c r="A523" s="2"/>
      <c r="K523" s="2"/>
    </row>
    <row r="524">
      <c r="A524" s="2"/>
      <c r="K524" s="2"/>
    </row>
    <row r="525">
      <c r="A525" s="2"/>
      <c r="K525" s="2"/>
    </row>
    <row r="526">
      <c r="A526" s="2"/>
      <c r="K526" s="2"/>
    </row>
    <row r="527">
      <c r="A527" s="2"/>
      <c r="K527" s="2"/>
    </row>
    <row r="528">
      <c r="A528" s="2"/>
      <c r="K528" s="2"/>
    </row>
    <row r="529">
      <c r="A529" s="2"/>
      <c r="K529" s="2"/>
    </row>
    <row r="530">
      <c r="A530" s="2"/>
      <c r="K530" s="2"/>
    </row>
    <row r="531">
      <c r="A531" s="2"/>
      <c r="K531" s="2"/>
    </row>
    <row r="532">
      <c r="A532" s="2"/>
      <c r="K532" s="2"/>
    </row>
    <row r="533">
      <c r="A533" s="2"/>
      <c r="K533" s="2"/>
    </row>
    <row r="534">
      <c r="A534" s="2"/>
      <c r="K534" s="2"/>
    </row>
    <row r="535">
      <c r="A535" s="2"/>
      <c r="K535" s="2"/>
    </row>
    <row r="536">
      <c r="A536" s="2"/>
      <c r="K536" s="2"/>
    </row>
    <row r="537">
      <c r="A537" s="2"/>
      <c r="K537" s="2"/>
    </row>
    <row r="538">
      <c r="A538" s="2"/>
      <c r="K538" s="2"/>
    </row>
    <row r="539">
      <c r="A539" s="2"/>
      <c r="K539" s="2"/>
    </row>
    <row r="540">
      <c r="A540" s="2"/>
      <c r="K540" s="2"/>
    </row>
    <row r="541">
      <c r="A541" s="2"/>
      <c r="K541" s="2"/>
    </row>
    <row r="542">
      <c r="A542" s="2"/>
      <c r="K542" s="2"/>
    </row>
    <row r="543">
      <c r="A543" s="2"/>
      <c r="K543" s="2"/>
    </row>
    <row r="544">
      <c r="A544" s="2"/>
      <c r="K544" s="2"/>
    </row>
    <row r="545">
      <c r="A545" s="2"/>
      <c r="K545" s="2"/>
    </row>
    <row r="546">
      <c r="A546" s="2"/>
      <c r="K546" s="2"/>
    </row>
    <row r="547">
      <c r="A547" s="2"/>
      <c r="K547" s="2"/>
    </row>
    <row r="548">
      <c r="A548" s="2"/>
      <c r="K548" s="2"/>
    </row>
    <row r="549">
      <c r="A549" s="2"/>
      <c r="K549" s="2"/>
    </row>
    <row r="550">
      <c r="A550" s="2"/>
      <c r="K550" s="2"/>
    </row>
    <row r="551">
      <c r="A551" s="2"/>
      <c r="K551" s="2"/>
    </row>
    <row r="552">
      <c r="A552" s="2"/>
      <c r="K552" s="2"/>
    </row>
    <row r="553">
      <c r="A553" s="2"/>
      <c r="K553" s="2"/>
    </row>
    <row r="554">
      <c r="A554" s="2"/>
      <c r="K554" s="2"/>
    </row>
    <row r="555">
      <c r="A555" s="2"/>
      <c r="K555" s="2"/>
    </row>
    <row r="556">
      <c r="A556" s="2"/>
      <c r="K556" s="2"/>
    </row>
    <row r="557">
      <c r="A557" s="2"/>
      <c r="K557" s="2"/>
    </row>
    <row r="558">
      <c r="A558" s="2"/>
      <c r="K558" s="2"/>
    </row>
    <row r="559">
      <c r="A559" s="2"/>
      <c r="K559" s="2"/>
    </row>
    <row r="560">
      <c r="A560" s="2"/>
      <c r="K560" s="2"/>
    </row>
    <row r="561">
      <c r="A561" s="2"/>
      <c r="K561" s="2"/>
    </row>
    <row r="562">
      <c r="A562" s="2"/>
      <c r="K562" s="2"/>
    </row>
    <row r="563">
      <c r="A563" s="2"/>
      <c r="K563" s="2"/>
    </row>
    <row r="564">
      <c r="A564" s="2"/>
      <c r="K564" s="2"/>
    </row>
    <row r="565">
      <c r="A565" s="2"/>
      <c r="K565" s="2"/>
    </row>
    <row r="566">
      <c r="A566" s="2"/>
      <c r="K566" s="2"/>
    </row>
    <row r="567">
      <c r="A567" s="2"/>
      <c r="K567" s="2"/>
    </row>
    <row r="568">
      <c r="A568" s="2"/>
      <c r="K568" s="2"/>
    </row>
    <row r="569">
      <c r="A569" s="2"/>
      <c r="K569" s="2"/>
    </row>
    <row r="570">
      <c r="A570" s="2"/>
      <c r="K570" s="2"/>
    </row>
    <row r="571">
      <c r="A571" s="2"/>
      <c r="K571" s="2"/>
    </row>
    <row r="572">
      <c r="A572" s="2"/>
      <c r="K572" s="2"/>
    </row>
    <row r="573">
      <c r="A573" s="2"/>
      <c r="K573" s="2"/>
    </row>
    <row r="574">
      <c r="A574" s="2"/>
      <c r="K574" s="2"/>
    </row>
    <row r="575">
      <c r="A575" s="2"/>
      <c r="K575" s="2"/>
    </row>
    <row r="576">
      <c r="A576" s="2"/>
      <c r="K576" s="2"/>
    </row>
    <row r="577">
      <c r="A577" s="2"/>
      <c r="K577" s="2"/>
    </row>
    <row r="578">
      <c r="A578" s="2"/>
      <c r="K578" s="2"/>
    </row>
    <row r="579">
      <c r="A579" s="2"/>
      <c r="K579" s="2"/>
    </row>
    <row r="580">
      <c r="A580" s="2"/>
      <c r="K580" s="2"/>
    </row>
    <row r="581">
      <c r="A581" s="2"/>
      <c r="K581" s="2"/>
    </row>
    <row r="582">
      <c r="A582" s="2"/>
      <c r="K582" s="2"/>
    </row>
    <row r="583">
      <c r="A583" s="2"/>
      <c r="K583" s="2"/>
    </row>
    <row r="584">
      <c r="A584" s="2"/>
      <c r="K584" s="2"/>
    </row>
    <row r="585">
      <c r="A585" s="2"/>
      <c r="K585" s="2"/>
    </row>
    <row r="586">
      <c r="A586" s="2"/>
      <c r="K586" s="2"/>
    </row>
    <row r="587">
      <c r="A587" s="2"/>
      <c r="K587" s="2"/>
    </row>
    <row r="588">
      <c r="A588" s="2"/>
      <c r="K588" s="2"/>
    </row>
    <row r="589">
      <c r="A589" s="2"/>
      <c r="K589" s="2"/>
    </row>
    <row r="590">
      <c r="A590" s="2"/>
      <c r="K590" s="2"/>
    </row>
    <row r="591">
      <c r="A591" s="2"/>
      <c r="K591" s="2"/>
    </row>
    <row r="592">
      <c r="A592" s="2"/>
      <c r="K592" s="2"/>
    </row>
    <row r="593">
      <c r="A593" s="2"/>
      <c r="K593" s="2"/>
    </row>
    <row r="594">
      <c r="A594" s="2"/>
      <c r="K594" s="2"/>
    </row>
    <row r="595">
      <c r="A595" s="2"/>
      <c r="K595" s="2"/>
    </row>
    <row r="596">
      <c r="A596" s="2"/>
      <c r="K596" s="2"/>
    </row>
    <row r="597">
      <c r="A597" s="2"/>
      <c r="K597" s="2"/>
    </row>
    <row r="598">
      <c r="A598" s="2"/>
      <c r="K598" s="2"/>
    </row>
    <row r="599">
      <c r="A599" s="2"/>
      <c r="K599" s="2"/>
    </row>
    <row r="600">
      <c r="A600" s="2"/>
      <c r="K600" s="2"/>
    </row>
    <row r="601">
      <c r="A601" s="2"/>
      <c r="K601" s="2"/>
    </row>
    <row r="602">
      <c r="A602" s="2"/>
      <c r="K602" s="2"/>
    </row>
    <row r="603">
      <c r="A603" s="2"/>
      <c r="K603" s="2"/>
    </row>
    <row r="604">
      <c r="A604" s="2"/>
      <c r="K604" s="2"/>
    </row>
    <row r="605">
      <c r="A605" s="2"/>
      <c r="K605" s="2"/>
    </row>
    <row r="606">
      <c r="A606" s="2"/>
      <c r="K606" s="2"/>
    </row>
    <row r="607">
      <c r="A607" s="2"/>
      <c r="K607" s="2"/>
    </row>
    <row r="608">
      <c r="A608" s="2"/>
      <c r="K608" s="2"/>
    </row>
    <row r="609">
      <c r="A609" s="2"/>
      <c r="K609" s="2"/>
    </row>
    <row r="610">
      <c r="A610" s="2"/>
      <c r="K610" s="2"/>
    </row>
    <row r="611">
      <c r="A611" s="2"/>
      <c r="K611" s="2"/>
    </row>
    <row r="612">
      <c r="A612" s="2"/>
      <c r="K612" s="2"/>
    </row>
    <row r="613">
      <c r="A613" s="2"/>
      <c r="K613" s="2"/>
    </row>
    <row r="614">
      <c r="A614" s="2"/>
      <c r="K614" s="2"/>
    </row>
    <row r="615">
      <c r="A615" s="2"/>
      <c r="K615" s="2"/>
    </row>
    <row r="616">
      <c r="A616" s="2"/>
      <c r="K616" s="2"/>
    </row>
    <row r="617">
      <c r="A617" s="2"/>
      <c r="K617" s="2"/>
    </row>
    <row r="618">
      <c r="A618" s="2"/>
      <c r="K618" s="2"/>
    </row>
    <row r="619">
      <c r="A619" s="2"/>
      <c r="K619" s="2"/>
    </row>
    <row r="620">
      <c r="A620" s="2"/>
      <c r="K620" s="2"/>
    </row>
    <row r="621">
      <c r="A621" s="2"/>
      <c r="K621" s="2"/>
    </row>
    <row r="622">
      <c r="A622" s="2"/>
      <c r="K622" s="2"/>
    </row>
    <row r="623">
      <c r="A623" s="2"/>
      <c r="K623" s="2"/>
    </row>
    <row r="624">
      <c r="A624" s="2"/>
      <c r="K624" s="2"/>
    </row>
    <row r="625">
      <c r="A625" s="2"/>
      <c r="K625" s="2"/>
    </row>
    <row r="626">
      <c r="A626" s="2"/>
      <c r="K626" s="2"/>
    </row>
    <row r="627">
      <c r="A627" s="2"/>
      <c r="K627" s="2"/>
    </row>
    <row r="628">
      <c r="A628" s="2"/>
      <c r="K628" s="2"/>
    </row>
    <row r="629">
      <c r="A629" s="2"/>
      <c r="K629" s="2"/>
    </row>
    <row r="630">
      <c r="A630" s="2"/>
      <c r="K630" s="2"/>
    </row>
    <row r="631">
      <c r="A631" s="2"/>
      <c r="K631" s="2"/>
    </row>
    <row r="632">
      <c r="A632" s="2"/>
      <c r="K632" s="2"/>
    </row>
    <row r="633">
      <c r="A633" s="2"/>
      <c r="K633" s="2"/>
    </row>
    <row r="634">
      <c r="A634" s="2"/>
      <c r="K634" s="2"/>
    </row>
    <row r="635">
      <c r="A635" s="2"/>
      <c r="K635" s="2"/>
    </row>
    <row r="636">
      <c r="A636" s="2"/>
      <c r="K636" s="2"/>
    </row>
    <row r="637">
      <c r="A637" s="2"/>
      <c r="K637" s="2"/>
    </row>
    <row r="638">
      <c r="A638" s="2"/>
      <c r="K638" s="2"/>
    </row>
    <row r="639">
      <c r="A639" s="2"/>
      <c r="K639" s="2"/>
    </row>
    <row r="640">
      <c r="A640" s="2"/>
      <c r="K640" s="2"/>
    </row>
    <row r="641">
      <c r="A641" s="2"/>
      <c r="K641" s="2"/>
    </row>
    <row r="642">
      <c r="A642" s="2"/>
      <c r="K642" s="2"/>
    </row>
    <row r="643">
      <c r="A643" s="2"/>
      <c r="K643" s="2"/>
    </row>
    <row r="644">
      <c r="A644" s="2"/>
      <c r="K644" s="2"/>
    </row>
    <row r="645">
      <c r="A645" s="2"/>
      <c r="K645" s="2"/>
    </row>
    <row r="646">
      <c r="A646" s="2"/>
      <c r="K646" s="2"/>
    </row>
    <row r="647">
      <c r="A647" s="2"/>
      <c r="K647" s="2"/>
    </row>
    <row r="648">
      <c r="A648" s="2"/>
      <c r="K648" s="2"/>
    </row>
    <row r="649">
      <c r="A649" s="2"/>
      <c r="K649" s="2"/>
    </row>
    <row r="650">
      <c r="A650" s="2"/>
      <c r="K650" s="2"/>
    </row>
    <row r="651">
      <c r="A651" s="2"/>
      <c r="K651" s="2"/>
    </row>
    <row r="652">
      <c r="A652" s="2"/>
      <c r="K652" s="2"/>
    </row>
    <row r="653">
      <c r="A653" s="2"/>
      <c r="K653" s="2"/>
    </row>
    <row r="654">
      <c r="A654" s="2"/>
      <c r="K654" s="2"/>
    </row>
    <row r="655">
      <c r="A655" s="2"/>
      <c r="K655" s="2"/>
    </row>
    <row r="656">
      <c r="A656" s="2"/>
      <c r="K656" s="2"/>
    </row>
    <row r="657">
      <c r="A657" s="2"/>
      <c r="K657" s="2"/>
    </row>
    <row r="658">
      <c r="A658" s="2"/>
      <c r="K658" s="2"/>
    </row>
    <row r="659">
      <c r="A659" s="2"/>
      <c r="K659" s="2"/>
    </row>
    <row r="660">
      <c r="A660" s="2"/>
      <c r="K660" s="2"/>
    </row>
    <row r="661">
      <c r="A661" s="2"/>
      <c r="K661" s="2"/>
    </row>
    <row r="662">
      <c r="A662" s="2"/>
      <c r="K662" s="2"/>
    </row>
    <row r="663">
      <c r="A663" s="2"/>
      <c r="K663" s="2"/>
    </row>
    <row r="664">
      <c r="A664" s="2"/>
      <c r="K664" s="2"/>
    </row>
    <row r="665">
      <c r="A665" s="2"/>
      <c r="K665" s="2"/>
    </row>
    <row r="666">
      <c r="A666" s="2"/>
      <c r="K666" s="2"/>
    </row>
    <row r="667">
      <c r="A667" s="2"/>
      <c r="K667" s="2"/>
    </row>
    <row r="668">
      <c r="A668" s="2"/>
      <c r="K668" s="2"/>
    </row>
    <row r="669">
      <c r="A669" s="2"/>
      <c r="K669" s="2"/>
    </row>
    <row r="670">
      <c r="A670" s="2"/>
      <c r="K670" s="2"/>
    </row>
    <row r="671">
      <c r="A671" s="2"/>
      <c r="K671" s="2"/>
    </row>
    <row r="672">
      <c r="A672" s="2"/>
      <c r="K672" s="2"/>
    </row>
    <row r="673">
      <c r="A673" s="2"/>
      <c r="K673" s="2"/>
    </row>
    <row r="674">
      <c r="A674" s="2"/>
      <c r="K674" s="2"/>
    </row>
    <row r="675">
      <c r="A675" s="2"/>
      <c r="K675" s="2"/>
    </row>
    <row r="676">
      <c r="A676" s="2"/>
      <c r="K676" s="2"/>
    </row>
    <row r="677">
      <c r="A677" s="2"/>
      <c r="K677" s="2"/>
    </row>
    <row r="678">
      <c r="A678" s="2"/>
      <c r="K678" s="2"/>
    </row>
    <row r="679">
      <c r="A679" s="2"/>
      <c r="K679" s="2"/>
    </row>
    <row r="680">
      <c r="A680" s="2"/>
      <c r="K680" s="2"/>
    </row>
    <row r="681">
      <c r="A681" s="2"/>
      <c r="K681" s="2"/>
    </row>
    <row r="682">
      <c r="A682" s="2"/>
      <c r="K682" s="2"/>
    </row>
    <row r="683">
      <c r="A683" s="2"/>
      <c r="K683" s="2"/>
    </row>
    <row r="684">
      <c r="A684" s="2"/>
      <c r="K684" s="2"/>
    </row>
    <row r="685">
      <c r="A685" s="2"/>
      <c r="K685" s="2"/>
    </row>
    <row r="686">
      <c r="A686" s="2"/>
      <c r="K686" s="2"/>
    </row>
    <row r="687">
      <c r="A687" s="2"/>
      <c r="K687" s="2"/>
    </row>
    <row r="688">
      <c r="A688" s="2"/>
      <c r="K688" s="2"/>
    </row>
    <row r="689">
      <c r="A689" s="2"/>
      <c r="K689" s="2"/>
    </row>
    <row r="690">
      <c r="A690" s="2"/>
      <c r="K690" s="2"/>
    </row>
    <row r="691">
      <c r="A691" s="2"/>
      <c r="K691" s="2"/>
    </row>
    <row r="692">
      <c r="A692" s="2"/>
      <c r="K692" s="2"/>
    </row>
    <row r="693">
      <c r="A693" s="2"/>
      <c r="K693" s="2"/>
    </row>
    <row r="694">
      <c r="A694" s="2"/>
      <c r="K694" s="2"/>
    </row>
    <row r="695">
      <c r="A695" s="2"/>
      <c r="K695" s="2"/>
    </row>
    <row r="696">
      <c r="A696" s="2"/>
      <c r="K696" s="2"/>
    </row>
    <row r="697">
      <c r="A697" s="2"/>
      <c r="K697" s="2"/>
    </row>
    <row r="698">
      <c r="A698" s="2"/>
      <c r="K698" s="2"/>
    </row>
    <row r="699">
      <c r="A699" s="2"/>
      <c r="K699" s="2"/>
    </row>
    <row r="700">
      <c r="A700" s="2"/>
      <c r="K700" s="2"/>
    </row>
    <row r="701">
      <c r="A701" s="2"/>
      <c r="K701" s="2"/>
    </row>
    <row r="702">
      <c r="A702" s="2"/>
      <c r="K702" s="2"/>
    </row>
    <row r="703">
      <c r="A703" s="2"/>
      <c r="K703" s="2"/>
    </row>
    <row r="704">
      <c r="A704" s="2"/>
      <c r="K704" s="2"/>
    </row>
    <row r="705">
      <c r="A705" s="2"/>
      <c r="K705" s="2"/>
    </row>
    <row r="706">
      <c r="A706" s="2"/>
      <c r="K706" s="2"/>
    </row>
    <row r="707">
      <c r="A707" s="2"/>
      <c r="K707" s="2"/>
    </row>
    <row r="708">
      <c r="A708" s="2"/>
      <c r="K708" s="2"/>
    </row>
    <row r="709">
      <c r="A709" s="2"/>
      <c r="K709" s="2"/>
    </row>
    <row r="710">
      <c r="A710" s="2"/>
      <c r="K710" s="2"/>
    </row>
    <row r="711">
      <c r="A711" s="2"/>
      <c r="K711" s="2"/>
    </row>
    <row r="712">
      <c r="A712" s="2"/>
      <c r="K712" s="2"/>
    </row>
    <row r="713">
      <c r="A713" s="2"/>
      <c r="K713" s="2"/>
    </row>
    <row r="714">
      <c r="A714" s="2"/>
      <c r="K714" s="2"/>
    </row>
    <row r="715">
      <c r="A715" s="2"/>
      <c r="K715" s="2"/>
    </row>
    <row r="716">
      <c r="A716" s="2"/>
      <c r="K716" s="2"/>
    </row>
    <row r="717">
      <c r="A717" s="2"/>
      <c r="K717" s="2"/>
    </row>
    <row r="718">
      <c r="A718" s="2"/>
      <c r="K718" s="2"/>
    </row>
    <row r="719">
      <c r="A719" s="2"/>
      <c r="K719" s="2"/>
    </row>
    <row r="720">
      <c r="A720" s="2"/>
      <c r="K720" s="2"/>
    </row>
    <row r="721">
      <c r="A721" s="2"/>
      <c r="K721" s="2"/>
    </row>
    <row r="722">
      <c r="A722" s="2"/>
      <c r="K722" s="2"/>
    </row>
    <row r="723">
      <c r="A723" s="2"/>
      <c r="K723" s="2"/>
    </row>
    <row r="724">
      <c r="A724" s="2"/>
      <c r="K724" s="2"/>
    </row>
    <row r="725">
      <c r="A725" s="2"/>
      <c r="K725" s="2"/>
    </row>
    <row r="726">
      <c r="A726" s="2"/>
      <c r="K726" s="2"/>
    </row>
    <row r="727">
      <c r="A727" s="2"/>
      <c r="K727" s="2"/>
    </row>
    <row r="728">
      <c r="A728" s="2"/>
      <c r="K728" s="2"/>
    </row>
    <row r="729">
      <c r="A729" s="2"/>
      <c r="K729" s="2"/>
    </row>
    <row r="730">
      <c r="A730" s="2"/>
      <c r="K730" s="2"/>
    </row>
    <row r="731">
      <c r="A731" s="2"/>
      <c r="K731" s="2"/>
    </row>
    <row r="732">
      <c r="A732" s="2"/>
      <c r="K732" s="2"/>
    </row>
    <row r="733">
      <c r="A733" s="2"/>
      <c r="K733" s="2"/>
    </row>
    <row r="734">
      <c r="A734" s="2"/>
      <c r="K734" s="2"/>
    </row>
    <row r="735">
      <c r="A735" s="2"/>
      <c r="K735" s="2"/>
    </row>
    <row r="736">
      <c r="A736" s="2"/>
      <c r="K736" s="2"/>
    </row>
    <row r="737">
      <c r="A737" s="2"/>
      <c r="K737" s="2"/>
    </row>
    <row r="738">
      <c r="A738" s="2"/>
      <c r="K738" s="2"/>
    </row>
    <row r="739">
      <c r="A739" s="2"/>
      <c r="K739" s="2"/>
    </row>
    <row r="740">
      <c r="A740" s="2"/>
      <c r="K740" s="2"/>
    </row>
    <row r="741">
      <c r="A741" s="2"/>
      <c r="K741" s="2"/>
    </row>
    <row r="742">
      <c r="A742" s="2"/>
      <c r="K742" s="2"/>
    </row>
    <row r="743">
      <c r="A743" s="2"/>
      <c r="K743" s="2"/>
    </row>
    <row r="744">
      <c r="A744" s="2"/>
      <c r="K744" s="2"/>
    </row>
    <row r="745">
      <c r="A745" s="2"/>
      <c r="K745" s="2"/>
    </row>
    <row r="746">
      <c r="A746" s="2"/>
      <c r="K746" s="2"/>
    </row>
    <row r="747">
      <c r="A747" s="2"/>
      <c r="K747" s="2"/>
    </row>
    <row r="748">
      <c r="A748" s="2"/>
      <c r="K748" s="2"/>
    </row>
    <row r="749">
      <c r="A749" s="2"/>
      <c r="K749" s="2"/>
    </row>
    <row r="750">
      <c r="A750" s="2"/>
      <c r="K750" s="2"/>
    </row>
    <row r="751">
      <c r="A751" s="2"/>
      <c r="K751" s="2"/>
    </row>
    <row r="752">
      <c r="A752" s="2"/>
      <c r="K752" s="2"/>
    </row>
    <row r="753">
      <c r="A753" s="2"/>
      <c r="K753" s="2"/>
    </row>
    <row r="754">
      <c r="A754" s="2"/>
      <c r="K754" s="2"/>
    </row>
    <row r="755">
      <c r="A755" s="2"/>
      <c r="K755" s="2"/>
    </row>
    <row r="756">
      <c r="A756" s="2"/>
      <c r="K756" s="2"/>
    </row>
    <row r="757">
      <c r="A757" s="2"/>
      <c r="K757" s="2"/>
    </row>
    <row r="758">
      <c r="A758" s="2"/>
      <c r="K758" s="2"/>
    </row>
    <row r="759">
      <c r="A759" s="2"/>
      <c r="K759" s="2"/>
    </row>
    <row r="760">
      <c r="A760" s="2"/>
      <c r="K760" s="2"/>
    </row>
    <row r="761">
      <c r="A761" s="2"/>
      <c r="K761" s="2"/>
    </row>
    <row r="762">
      <c r="A762" s="2"/>
      <c r="K762" s="2"/>
    </row>
    <row r="763">
      <c r="A763" s="2"/>
      <c r="K763" s="2"/>
    </row>
    <row r="764">
      <c r="A764" s="2"/>
      <c r="K764" s="2"/>
    </row>
    <row r="765">
      <c r="A765" s="2"/>
      <c r="K765" s="2"/>
    </row>
    <row r="766">
      <c r="A766" s="2"/>
      <c r="K766" s="2"/>
    </row>
    <row r="767">
      <c r="A767" s="2"/>
      <c r="K767" s="2"/>
    </row>
    <row r="768">
      <c r="A768" s="2"/>
      <c r="K768" s="2"/>
    </row>
    <row r="769">
      <c r="A769" s="2"/>
      <c r="K769" s="2"/>
    </row>
    <row r="770">
      <c r="A770" s="2"/>
      <c r="K770" s="2"/>
    </row>
    <row r="771">
      <c r="A771" s="2"/>
      <c r="K771" s="2"/>
    </row>
    <row r="772">
      <c r="A772" s="2"/>
      <c r="K772" s="2"/>
    </row>
    <row r="773">
      <c r="A773" s="2"/>
      <c r="K773" s="2"/>
    </row>
    <row r="774">
      <c r="A774" s="2"/>
      <c r="K774" s="2"/>
    </row>
    <row r="775">
      <c r="A775" s="2"/>
      <c r="K775" s="2"/>
    </row>
    <row r="776">
      <c r="A776" s="2"/>
      <c r="K776" s="2"/>
    </row>
    <row r="777">
      <c r="A777" s="2"/>
      <c r="K777" s="2"/>
    </row>
    <row r="778">
      <c r="A778" s="2"/>
      <c r="K778" s="2"/>
    </row>
    <row r="779">
      <c r="A779" s="2"/>
      <c r="K779" s="2"/>
    </row>
    <row r="780">
      <c r="A780" s="2"/>
      <c r="K780" s="2"/>
    </row>
    <row r="781">
      <c r="A781" s="2"/>
      <c r="K781" s="2"/>
    </row>
    <row r="782">
      <c r="A782" s="2"/>
      <c r="K782" s="2"/>
    </row>
    <row r="783">
      <c r="A783" s="2"/>
      <c r="K783" s="2"/>
    </row>
    <row r="784">
      <c r="A784" s="2"/>
      <c r="K784" s="2"/>
    </row>
    <row r="785">
      <c r="A785" s="2"/>
      <c r="K785" s="2"/>
    </row>
    <row r="786">
      <c r="A786" s="2"/>
      <c r="K786" s="2"/>
    </row>
    <row r="787">
      <c r="A787" s="2"/>
      <c r="K787" s="2"/>
    </row>
    <row r="788">
      <c r="A788" s="2"/>
      <c r="K788" s="2"/>
    </row>
    <row r="789">
      <c r="A789" s="2"/>
      <c r="K789" s="2"/>
    </row>
    <row r="790">
      <c r="A790" s="2"/>
      <c r="K790" s="2"/>
    </row>
    <row r="791">
      <c r="A791" s="2"/>
      <c r="K791" s="2"/>
    </row>
    <row r="792">
      <c r="A792" s="2"/>
      <c r="K792" s="2"/>
    </row>
    <row r="793">
      <c r="A793" s="2"/>
      <c r="K793" s="2"/>
    </row>
    <row r="794">
      <c r="A794" s="2"/>
      <c r="K794" s="2"/>
    </row>
    <row r="795">
      <c r="A795" s="2"/>
      <c r="K795" s="2"/>
    </row>
    <row r="796">
      <c r="A796" s="2"/>
      <c r="K796" s="2"/>
    </row>
    <row r="797">
      <c r="A797" s="2"/>
      <c r="K797" s="2"/>
    </row>
    <row r="798">
      <c r="A798" s="2"/>
      <c r="K798" s="2"/>
    </row>
    <row r="799">
      <c r="A799" s="2"/>
      <c r="K799" s="2"/>
    </row>
    <row r="800">
      <c r="A800" s="2"/>
      <c r="K800" s="2"/>
    </row>
    <row r="801">
      <c r="A801" s="2"/>
      <c r="K801" s="2"/>
    </row>
    <row r="802">
      <c r="A802" s="2"/>
      <c r="K802" s="2"/>
    </row>
    <row r="803">
      <c r="A803" s="2"/>
      <c r="K803" s="2"/>
    </row>
    <row r="804">
      <c r="A804" s="2"/>
      <c r="K804" s="2"/>
    </row>
    <row r="805">
      <c r="A805" s="2"/>
      <c r="K805" s="2"/>
    </row>
    <row r="806">
      <c r="A806" s="2"/>
      <c r="K806" s="2"/>
    </row>
    <row r="807">
      <c r="A807" s="2"/>
      <c r="K807" s="2"/>
    </row>
    <row r="808">
      <c r="A808" s="2"/>
      <c r="K808" s="2"/>
    </row>
    <row r="809">
      <c r="A809" s="2"/>
      <c r="K809" s="2"/>
    </row>
    <row r="810">
      <c r="A810" s="2"/>
      <c r="K810" s="2"/>
    </row>
    <row r="811">
      <c r="A811" s="2"/>
      <c r="K811" s="2"/>
    </row>
    <row r="812">
      <c r="A812" s="2"/>
      <c r="K812" s="2"/>
    </row>
    <row r="813">
      <c r="A813" s="2"/>
      <c r="K813" s="2"/>
    </row>
    <row r="814">
      <c r="A814" s="2"/>
      <c r="K814" s="2"/>
    </row>
    <row r="815">
      <c r="A815" s="2"/>
      <c r="K815" s="2"/>
    </row>
    <row r="816">
      <c r="A816" s="2"/>
      <c r="K816" s="2"/>
    </row>
    <row r="817">
      <c r="A817" s="2"/>
      <c r="K817" s="2"/>
    </row>
    <row r="818">
      <c r="A818" s="2"/>
      <c r="K818" s="2"/>
    </row>
    <row r="819">
      <c r="A819" s="2"/>
      <c r="K819" s="2"/>
    </row>
    <row r="820">
      <c r="A820" s="2"/>
      <c r="K820" s="2"/>
    </row>
    <row r="821">
      <c r="A821" s="2"/>
      <c r="K821" s="2"/>
    </row>
    <row r="822">
      <c r="A822" s="2"/>
      <c r="K822" s="2"/>
    </row>
    <row r="823">
      <c r="A823" s="2"/>
      <c r="K823" s="2"/>
    </row>
    <row r="824">
      <c r="A824" s="2"/>
      <c r="K824" s="2"/>
    </row>
    <row r="825">
      <c r="A825" s="2"/>
      <c r="K825" s="2"/>
    </row>
    <row r="826">
      <c r="A826" s="2"/>
      <c r="K826" s="2"/>
    </row>
    <row r="827">
      <c r="A827" s="2"/>
      <c r="K827" s="2"/>
    </row>
    <row r="828">
      <c r="A828" s="2"/>
      <c r="K828" s="2"/>
    </row>
    <row r="829">
      <c r="A829" s="2"/>
      <c r="K829" s="2"/>
    </row>
    <row r="830">
      <c r="A830" s="2"/>
      <c r="K830" s="2"/>
    </row>
    <row r="831">
      <c r="A831" s="2"/>
      <c r="K831" s="2"/>
    </row>
    <row r="832">
      <c r="A832" s="2"/>
      <c r="K832" s="2"/>
    </row>
    <row r="833">
      <c r="A833" s="2"/>
      <c r="K833" s="2"/>
    </row>
    <row r="834">
      <c r="A834" s="2"/>
      <c r="K834" s="2"/>
    </row>
    <row r="835">
      <c r="A835" s="2"/>
      <c r="K835" s="2"/>
    </row>
    <row r="836">
      <c r="A836" s="2"/>
      <c r="K836" s="2"/>
    </row>
    <row r="837">
      <c r="A837" s="2"/>
      <c r="K837" s="2"/>
    </row>
    <row r="838">
      <c r="A838" s="2"/>
      <c r="K838" s="2"/>
    </row>
    <row r="839">
      <c r="A839" s="2"/>
      <c r="K839" s="2"/>
    </row>
    <row r="840">
      <c r="A840" s="2"/>
      <c r="K840" s="2"/>
    </row>
    <row r="841">
      <c r="A841" s="2"/>
      <c r="K841" s="2"/>
    </row>
    <row r="842">
      <c r="A842" s="2"/>
      <c r="K842" s="2"/>
    </row>
    <row r="843">
      <c r="A843" s="2"/>
      <c r="K843" s="2"/>
    </row>
    <row r="844">
      <c r="A844" s="2"/>
      <c r="K844" s="2"/>
    </row>
    <row r="845">
      <c r="A845" s="2"/>
      <c r="K845" s="2"/>
    </row>
    <row r="846">
      <c r="A846" s="2"/>
      <c r="K846" s="2"/>
    </row>
    <row r="847">
      <c r="A847" s="2"/>
      <c r="K847" s="2"/>
    </row>
    <row r="848">
      <c r="A848" s="2"/>
      <c r="K848" s="2"/>
    </row>
    <row r="849">
      <c r="A849" s="2"/>
      <c r="K849" s="2"/>
    </row>
    <row r="850">
      <c r="A850" s="2"/>
      <c r="K850" s="2"/>
    </row>
    <row r="851">
      <c r="A851" s="2"/>
      <c r="K851" s="2"/>
    </row>
    <row r="852">
      <c r="A852" s="2"/>
      <c r="K852" s="2"/>
    </row>
    <row r="853">
      <c r="A853" s="2"/>
      <c r="K853" s="2"/>
    </row>
    <row r="854">
      <c r="A854" s="2"/>
      <c r="K854" s="2"/>
    </row>
    <row r="855">
      <c r="A855" s="2"/>
      <c r="K855" s="2"/>
    </row>
    <row r="856">
      <c r="A856" s="2"/>
      <c r="K856" s="2"/>
    </row>
    <row r="857">
      <c r="A857" s="2"/>
      <c r="K857" s="2"/>
    </row>
    <row r="858">
      <c r="A858" s="2"/>
      <c r="K858" s="2"/>
    </row>
    <row r="859">
      <c r="A859" s="2"/>
      <c r="K859" s="2"/>
    </row>
    <row r="860">
      <c r="A860" s="2"/>
      <c r="K860" s="2"/>
    </row>
    <row r="861">
      <c r="A861" s="2"/>
      <c r="K861" s="2"/>
    </row>
    <row r="862">
      <c r="A862" s="2"/>
      <c r="K862" s="2"/>
    </row>
    <row r="863">
      <c r="A863" s="2"/>
      <c r="K863" s="2"/>
    </row>
    <row r="864">
      <c r="A864" s="2"/>
      <c r="K864" s="2"/>
    </row>
    <row r="865">
      <c r="A865" s="2"/>
      <c r="K865" s="2"/>
    </row>
    <row r="866">
      <c r="A866" s="2"/>
      <c r="K866" s="2"/>
    </row>
    <row r="867">
      <c r="A867" s="2"/>
      <c r="K867" s="2"/>
    </row>
    <row r="868">
      <c r="A868" s="2"/>
      <c r="K868" s="2"/>
    </row>
    <row r="869">
      <c r="A869" s="2"/>
      <c r="K869" s="2"/>
    </row>
    <row r="870">
      <c r="A870" s="2"/>
      <c r="K870" s="2"/>
    </row>
    <row r="871">
      <c r="A871" s="2"/>
      <c r="K871" s="2"/>
    </row>
    <row r="872">
      <c r="A872" s="2"/>
      <c r="K872" s="2"/>
    </row>
    <row r="873">
      <c r="A873" s="2"/>
      <c r="K873" s="2"/>
    </row>
    <row r="874">
      <c r="A874" s="2"/>
      <c r="K874" s="2"/>
    </row>
    <row r="875">
      <c r="A875" s="2"/>
      <c r="K875" s="2"/>
    </row>
    <row r="876">
      <c r="A876" s="2"/>
      <c r="K876" s="2"/>
    </row>
    <row r="877">
      <c r="A877" s="2"/>
      <c r="K877" s="2"/>
    </row>
    <row r="878">
      <c r="A878" s="2"/>
      <c r="K878" s="2"/>
    </row>
    <row r="879">
      <c r="A879" s="2"/>
      <c r="K879" s="2"/>
    </row>
    <row r="880">
      <c r="A880" s="2"/>
      <c r="K880" s="2"/>
    </row>
    <row r="881">
      <c r="A881" s="2"/>
      <c r="K881" s="2"/>
    </row>
    <row r="882">
      <c r="A882" s="2"/>
      <c r="K882" s="2"/>
    </row>
    <row r="883">
      <c r="A883" s="2"/>
      <c r="K883" s="2"/>
    </row>
    <row r="884">
      <c r="A884" s="2"/>
      <c r="K884" s="2"/>
    </row>
    <row r="885">
      <c r="A885" s="2"/>
      <c r="K885" s="2"/>
    </row>
    <row r="886">
      <c r="A886" s="2"/>
      <c r="K886" s="2"/>
    </row>
    <row r="887">
      <c r="A887" s="2"/>
      <c r="K887" s="2"/>
    </row>
    <row r="888">
      <c r="A888" s="2"/>
      <c r="K888" s="2"/>
    </row>
    <row r="889">
      <c r="A889" s="2"/>
      <c r="K889" s="2"/>
    </row>
    <row r="890">
      <c r="A890" s="2"/>
      <c r="K890" s="2"/>
    </row>
    <row r="891">
      <c r="A891" s="2"/>
      <c r="K891" s="2"/>
    </row>
    <row r="892">
      <c r="A892" s="2"/>
      <c r="K892" s="2"/>
    </row>
    <row r="893">
      <c r="A893" s="2"/>
      <c r="K893" s="2"/>
    </row>
    <row r="894">
      <c r="A894" s="2"/>
      <c r="K894" s="2"/>
    </row>
    <row r="895">
      <c r="A895" s="2"/>
      <c r="K895" s="2"/>
    </row>
    <row r="896">
      <c r="A896" s="2"/>
      <c r="K896" s="2"/>
    </row>
    <row r="897">
      <c r="A897" s="2"/>
      <c r="K897" s="2"/>
    </row>
    <row r="898">
      <c r="A898" s="2"/>
      <c r="K898" s="2"/>
    </row>
    <row r="899">
      <c r="A899" s="2"/>
      <c r="K899" s="2"/>
    </row>
    <row r="900">
      <c r="A900" s="2"/>
      <c r="K900" s="2"/>
    </row>
    <row r="901">
      <c r="A901" s="2"/>
      <c r="K901" s="2"/>
    </row>
    <row r="902">
      <c r="A902" s="2"/>
      <c r="K902" s="2"/>
    </row>
    <row r="903">
      <c r="A903" s="2"/>
      <c r="K903" s="2"/>
    </row>
    <row r="904">
      <c r="A904" s="2"/>
      <c r="K904" s="2"/>
    </row>
    <row r="905">
      <c r="A905" s="2"/>
      <c r="K905" s="2"/>
    </row>
    <row r="906">
      <c r="A906" s="2"/>
      <c r="K906" s="2"/>
    </row>
    <row r="907">
      <c r="A907" s="2"/>
      <c r="K907" s="2"/>
    </row>
    <row r="908">
      <c r="A908" s="2"/>
      <c r="K908" s="2"/>
    </row>
    <row r="909">
      <c r="A909" s="2"/>
      <c r="K909" s="2"/>
    </row>
    <row r="910">
      <c r="A910" s="2"/>
      <c r="K910" s="2"/>
    </row>
    <row r="911">
      <c r="A911" s="2"/>
      <c r="K911" s="2"/>
    </row>
    <row r="912">
      <c r="A912" s="2"/>
      <c r="K912" s="2"/>
    </row>
    <row r="913">
      <c r="A913" s="2"/>
      <c r="K913" s="2"/>
    </row>
    <row r="914">
      <c r="A914" s="2"/>
      <c r="K914" s="2"/>
    </row>
    <row r="915">
      <c r="A915" s="2"/>
      <c r="K915" s="2"/>
    </row>
    <row r="916">
      <c r="A916" s="2"/>
      <c r="K916" s="2"/>
    </row>
    <row r="917">
      <c r="A917" s="2"/>
      <c r="K917" s="2"/>
    </row>
    <row r="918">
      <c r="A918" s="2"/>
      <c r="K918" s="2"/>
    </row>
    <row r="919">
      <c r="A919" s="2"/>
      <c r="K919" s="2"/>
    </row>
    <row r="920">
      <c r="A920" s="2"/>
      <c r="K920" s="2"/>
    </row>
    <row r="921">
      <c r="A921" s="2"/>
      <c r="K921" s="2"/>
    </row>
    <row r="922">
      <c r="A922" s="2"/>
      <c r="K922" s="2"/>
    </row>
    <row r="923">
      <c r="A923" s="2"/>
      <c r="K923" s="2"/>
    </row>
    <row r="924">
      <c r="A924" s="2"/>
      <c r="K924" s="2"/>
    </row>
    <row r="925">
      <c r="A925" s="2"/>
      <c r="K925" s="2"/>
    </row>
    <row r="926">
      <c r="A926" s="2"/>
      <c r="K926" s="2"/>
    </row>
    <row r="927">
      <c r="A927" s="2"/>
      <c r="K927" s="2"/>
    </row>
    <row r="928">
      <c r="A928" s="2"/>
      <c r="K928" s="2"/>
    </row>
    <row r="929">
      <c r="A929" s="2"/>
      <c r="K929" s="2"/>
    </row>
    <row r="930">
      <c r="A930" s="2"/>
      <c r="K930" s="2"/>
    </row>
    <row r="931">
      <c r="A931" s="2"/>
      <c r="K931" s="2"/>
    </row>
    <row r="932">
      <c r="A932" s="2"/>
      <c r="K932" s="2"/>
    </row>
    <row r="933">
      <c r="A933" s="2"/>
      <c r="K933" s="2"/>
    </row>
    <row r="934">
      <c r="A934" s="2"/>
      <c r="K934" s="2"/>
    </row>
    <row r="935">
      <c r="A935" s="2"/>
      <c r="K935" s="2"/>
    </row>
    <row r="936">
      <c r="A936" s="2"/>
      <c r="K936" s="2"/>
    </row>
    <row r="937">
      <c r="A937" s="2"/>
      <c r="K937" s="2"/>
    </row>
    <row r="938">
      <c r="A938" s="2"/>
      <c r="K938" s="2"/>
    </row>
    <row r="939">
      <c r="A939" s="2"/>
      <c r="K939" s="2"/>
    </row>
    <row r="940">
      <c r="A940" s="2"/>
      <c r="K940" s="2"/>
    </row>
    <row r="941">
      <c r="A941" s="2"/>
      <c r="K941" s="2"/>
    </row>
    <row r="942">
      <c r="A942" s="2"/>
      <c r="K942" s="2"/>
    </row>
    <row r="943">
      <c r="A943" s="2"/>
      <c r="K943" s="2"/>
    </row>
    <row r="944">
      <c r="A944" s="2"/>
      <c r="K944" s="2"/>
    </row>
    <row r="945">
      <c r="A945" s="2"/>
      <c r="K945" s="2"/>
    </row>
    <row r="946">
      <c r="A946" s="2"/>
      <c r="K946" s="2"/>
    </row>
    <row r="947">
      <c r="A947" s="2"/>
      <c r="K947" s="2"/>
    </row>
    <row r="948">
      <c r="A948" s="2"/>
      <c r="K948" s="2"/>
    </row>
    <row r="949">
      <c r="A949" s="2"/>
      <c r="K949" s="2"/>
    </row>
    <row r="950">
      <c r="A950" s="2"/>
      <c r="K950" s="2"/>
    </row>
    <row r="951">
      <c r="A951" s="2"/>
      <c r="K951" s="2"/>
    </row>
    <row r="952">
      <c r="A952" s="2"/>
      <c r="K952" s="2"/>
    </row>
    <row r="953">
      <c r="A953" s="2"/>
      <c r="K953" s="2"/>
    </row>
    <row r="954">
      <c r="A954" s="2"/>
      <c r="K954" s="2"/>
    </row>
    <row r="955">
      <c r="A955" s="2"/>
      <c r="K955" s="2"/>
    </row>
    <row r="956">
      <c r="A956" s="2"/>
      <c r="K956" s="2"/>
    </row>
    <row r="957">
      <c r="A957" s="2"/>
      <c r="K957" s="2"/>
    </row>
    <row r="958">
      <c r="A958" s="2"/>
      <c r="K958" s="2"/>
    </row>
    <row r="959">
      <c r="A959" s="2"/>
      <c r="K959" s="2"/>
    </row>
    <row r="960">
      <c r="A960" s="2"/>
      <c r="K960" s="2"/>
    </row>
    <row r="961">
      <c r="A961" s="2"/>
      <c r="K961" s="2"/>
    </row>
    <row r="962">
      <c r="A962" s="2"/>
      <c r="K962" s="2"/>
    </row>
    <row r="963">
      <c r="A963" s="2"/>
      <c r="K963" s="2"/>
    </row>
    <row r="964">
      <c r="A964" s="2"/>
      <c r="K964" s="2"/>
    </row>
    <row r="965">
      <c r="A965" s="2"/>
      <c r="K965" s="2"/>
    </row>
    <row r="966">
      <c r="A966" s="2"/>
      <c r="K966" s="2"/>
    </row>
    <row r="967">
      <c r="A967" s="2"/>
      <c r="K967" s="2"/>
    </row>
    <row r="968">
      <c r="A968" s="2"/>
      <c r="K968" s="2"/>
    </row>
    <row r="969">
      <c r="A969" s="2"/>
      <c r="K969" s="2"/>
    </row>
    <row r="970">
      <c r="A970" s="2"/>
      <c r="K970" s="2"/>
    </row>
    <row r="971">
      <c r="A971" s="2"/>
      <c r="K971" s="2"/>
    </row>
    <row r="972">
      <c r="A972" s="2"/>
      <c r="K972" s="2"/>
    </row>
    <row r="973">
      <c r="A973" s="2"/>
      <c r="K973" s="2"/>
    </row>
    <row r="974">
      <c r="A974" s="2"/>
      <c r="K974" s="2"/>
    </row>
    <row r="975">
      <c r="A975" s="2"/>
      <c r="K975" s="2"/>
    </row>
    <row r="976">
      <c r="A976" s="2"/>
      <c r="K976" s="2"/>
    </row>
    <row r="977">
      <c r="A977" s="2"/>
      <c r="K977" s="2"/>
    </row>
    <row r="978">
      <c r="A978" s="2"/>
      <c r="K978" s="2"/>
    </row>
    <row r="979">
      <c r="A979" s="2"/>
      <c r="K979" s="2"/>
    </row>
    <row r="980">
      <c r="A980" s="2"/>
      <c r="K980" s="2"/>
    </row>
    <row r="981">
      <c r="A981" s="2"/>
      <c r="K981" s="2"/>
    </row>
    <row r="982">
      <c r="A982" s="2"/>
      <c r="K982" s="2"/>
    </row>
    <row r="983">
      <c r="A983" s="2"/>
      <c r="K983" s="2"/>
    </row>
    <row r="984">
      <c r="A984" s="2"/>
      <c r="K984" s="2"/>
    </row>
    <row r="985">
      <c r="A985" s="2"/>
      <c r="K985" s="2"/>
    </row>
    <row r="986">
      <c r="A986" s="2"/>
      <c r="K986" s="2"/>
    </row>
    <row r="987">
      <c r="A987" s="2"/>
      <c r="K987" s="2"/>
    </row>
    <row r="988">
      <c r="A988" s="2"/>
      <c r="K988" s="2"/>
    </row>
    <row r="989">
      <c r="A989" s="2"/>
      <c r="K989" s="2"/>
    </row>
    <row r="990">
      <c r="A990" s="2"/>
      <c r="K990" s="2"/>
    </row>
    <row r="991">
      <c r="A991" s="2"/>
      <c r="K991" s="2"/>
    </row>
    <row r="992">
      <c r="A992" s="2"/>
      <c r="K992" s="2"/>
    </row>
    <row r="993">
      <c r="A993" s="2"/>
      <c r="K993" s="2"/>
    </row>
    <row r="994">
      <c r="A994" s="2"/>
      <c r="K994" s="2"/>
    </row>
    <row r="995">
      <c r="A995" s="2"/>
      <c r="K995" s="2"/>
    </row>
    <row r="996">
      <c r="A996" s="2"/>
      <c r="K996" s="2"/>
    </row>
    <row r="997">
      <c r="A997" s="2"/>
      <c r="K997" s="2"/>
    </row>
    <row r="998">
      <c r="A998" s="2"/>
      <c r="K998" s="2"/>
    </row>
    <row r="999">
      <c r="A999" s="2"/>
      <c r="K999" s="2"/>
    </row>
    <row r="1000">
      <c r="A1000" s="2"/>
      <c r="K1000" s="2"/>
    </row>
  </sheetData>
  <hyperlinks>
    <hyperlink r:id="rId1" ref="U14"/>
  </hyperlinks>
  <drawing r:id="rId2"/>
</worksheet>
</file>