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8195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<sst xmlns="http://schemas.openxmlformats.org/spreadsheetml/2006/main" count="42" uniqueCount="38">
  <si>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Case</t>
  </si>
  <si>
    <t>Fixed capital investment FCI, MUSD</t>
  </si>
  <si>
    <r>
      <t>Raw materials C</t>
    </r>
    <r>
      <rPr>
        <vertAlign val="subscript"/>
        <sz val="12"/>
        <color indexed="8"/>
        <rFont val="Times New Roman"/>
        <family val="1"/>
      </rPr>
      <t>RM</t>
    </r>
    <r>
      <rPr>
        <sz val="12"/>
        <color indexed="8"/>
        <rFont val="Times New Roman"/>
        <family val="1"/>
      </rPr>
      <t>, MUSD/Year</t>
    </r>
  </si>
  <si>
    <r>
      <t>Utilities C</t>
    </r>
    <r>
      <rPr>
        <vertAlign val="subscript"/>
        <sz val="12"/>
        <color indexed="8"/>
        <rFont val="Times New Roman"/>
        <family val="1"/>
      </rPr>
      <t>UT</t>
    </r>
    <r>
      <rPr>
        <sz val="12"/>
        <color indexed="8"/>
        <rFont val="Times New Roman"/>
        <family val="1"/>
      </rPr>
      <t>, MUSD/Year</t>
    </r>
  </si>
  <si>
    <r>
      <t>Operating labor C</t>
    </r>
    <r>
      <rPr>
        <vertAlign val="subscript"/>
        <sz val="12"/>
        <color indexed="8"/>
        <rFont val="Times New Roman"/>
        <family val="1"/>
      </rPr>
      <t>OL</t>
    </r>
    <r>
      <rPr>
        <sz val="12"/>
        <color indexed="8"/>
        <rFont val="Times New Roman"/>
        <family val="1"/>
      </rPr>
      <t>, MUSD/Year</t>
    </r>
  </si>
  <si>
    <t>Operating cost, MUSD/Year</t>
  </si>
  <si>
    <t>Conventional Columns</t>
  </si>
  <si>
    <t>Petlyuk Column</t>
  </si>
  <si>
    <t>Year</t>
  </si>
  <si>
    <t>Cash inflow, MUSD/Year</t>
  </si>
  <si>
    <t>FCI,</t>
  </si>
  <si>
    <t>MUSD/Year</t>
  </si>
  <si>
    <t>Depreciation,</t>
  </si>
  <si>
    <t>Cash outflow, MUSD/Year</t>
  </si>
  <si>
    <t>Cash flow</t>
  </si>
  <si>
    <t>Price ($/kg)</t>
  </si>
  <si>
    <t>Case 1</t>
  </si>
  <si>
    <t>Case 2</t>
  </si>
  <si>
    <t>Case 3</t>
  </si>
  <si>
    <t>Case 4</t>
  </si>
  <si>
    <t>Case 5</t>
  </si>
  <si>
    <t>Case 6</t>
  </si>
  <si>
    <t>C3</t>
  </si>
  <si>
    <t>iC4</t>
  </si>
  <si>
    <t>nC4</t>
  </si>
  <si>
    <t>C4</t>
  </si>
  <si>
    <t>C5+</t>
  </si>
  <si>
    <t>Total</t>
  </si>
  <si>
    <t>Total, MUSD/Year</t>
  </si>
  <si>
    <t>Tax, MUSD/Year</t>
  </si>
  <si>
    <t>C3iC4nC4</t>
  </si>
  <si>
    <t>Cash flow after tax</t>
  </si>
  <si>
    <t>IRR</t>
  </si>
  <si>
    <t>NPV</t>
  </si>
  <si>
    <t xml:space="preserve">IRR </t>
  </si>
  <si>
    <t>FCI</t>
  </si>
  <si>
    <t>Raw M</t>
  </si>
  <si>
    <t>Product Price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</si>
</sst>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_ ;[Red]\-#,##0.00\ "/>
    <numFmt numFmtId="166" formatCode="#,##0.000_ ;[Red]\-#,##0.000\ "/>
    <numFmt numFmtId="167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ck"/>
      <right style="thick"/>
      <top/>
      <bottom style="medium"/>
    </border>
    <border>
      <left style="thick"/>
      <right style="thick"/>
      <top style="thick"/>
      <bottom style="thick"/>
    </border>
    <border>
      <left/>
      <right style="medium"/>
      <top/>
      <bottom/>
    </border>
    <border>
      <left style="thick"/>
      <right style="thick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43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167" fontId="0" fillId="0" borderId="26" xfId="0" applyNumberFormat="1" applyBorder="1" applyAlignment="1">
      <alignment/>
    </xf>
    <xf numFmtId="9" fontId="0" fillId="0" borderId="17" xfId="0" applyNumberFormat="1" applyBorder="1" applyAlignment="1">
      <alignment/>
    </xf>
    <xf numFmtId="167" fontId="0" fillId="0" borderId="27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41" fillId="0" borderId="28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-0.0085"/>
          <c:w val="0.947"/>
          <c:h val="0.93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Sheet1!$V$2:$V$23</c:f>
              <c:numCache/>
            </c:numRef>
          </c:cat>
          <c:val>
            <c:numRef>
              <c:f>Sheet1!$U$2:$U$23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07598"/>
        <c:axId val="968383"/>
      </c:lineChart>
      <c:catAx>
        <c:axId val="107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20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8383"/>
        <c:crosses val="autoZero"/>
        <c:auto val="1"/>
        <c:lblOffset val="100"/>
        <c:tickLblSkip val="1"/>
        <c:noMultiLvlLbl val="0"/>
      </c:catAx>
      <c:valAx>
        <c:axId val="968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MUSD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Sensitivity Analysis</a:t>
            </a:r>
          </a:p>
        </c:rich>
      </c:tx>
      <c:layout>
        <c:manualLayout>
          <c:xMode val="factor"/>
          <c:yMode val="factor"/>
          <c:x val="-0.0072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105"/>
          <c:w val="0.71275"/>
          <c:h val="0.8965"/>
        </c:manualLayout>
      </c:layout>
      <c:lineChart>
        <c:grouping val="standard"/>
        <c:varyColors val="0"/>
        <c:ser>
          <c:idx val="0"/>
          <c:order val="0"/>
          <c:tx>
            <c:v>FCI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Sheet1!$X$3:$X$23</c:f>
              <c:numCache/>
            </c:numRef>
          </c:cat>
          <c:val>
            <c:numRef>
              <c:f>Sheet1!$W$3:$W$23</c:f>
              <c:numCache/>
            </c:numRef>
          </c:val>
          <c:smooth val="0"/>
        </c:ser>
        <c:ser>
          <c:idx val="1"/>
          <c:order val="1"/>
          <c:tx>
            <c:v>Raw Materials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Sheet1!$X$3:$X$23</c:f>
              <c:numCache/>
            </c:numRef>
          </c:cat>
          <c:val>
            <c:numRef>
              <c:f>Sheet1!$Y$3:$Y$23</c:f>
              <c:numCache/>
            </c:numRef>
          </c:val>
          <c:smooth val="0"/>
        </c:ser>
        <c:ser>
          <c:idx val="2"/>
          <c:order val="2"/>
          <c:tx>
            <c:v>Product Price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Sheet1!$X$3:$X$23</c:f>
              <c:numCache/>
            </c:numRef>
          </c:cat>
          <c:val>
            <c:numRef>
              <c:f>Sheet1!$AA$3:$AA$23</c:f>
              <c:numCache/>
            </c:numRef>
          </c:val>
          <c:smooth val="0"/>
        </c:ser>
        <c:marker val="1"/>
        <c:axId val="8715448"/>
        <c:axId val="11330169"/>
      </c:lineChart>
      <c:catAx>
        <c:axId val="8715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30169"/>
        <c:crosses val="autoZero"/>
        <c:auto val="1"/>
        <c:lblOffset val="100"/>
        <c:tickLblSkip val="2"/>
        <c:noMultiLvlLbl val="0"/>
      </c:catAx>
      <c:valAx>
        <c:axId val="11330169"/>
        <c:scaling>
          <c:orientation val="minMax"/>
          <c:max val="1.1"/>
          <c:min val="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IRR</a:t>
                </a:r>
              </a:p>
            </c:rich>
          </c:tx>
          <c:layout>
            <c:manualLayout>
              <c:xMode val="factor"/>
              <c:yMode val="factor"/>
              <c:x val="0.000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715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25"/>
          <c:y val="0.3405"/>
          <c:w val="0.18975"/>
          <c:h val="0.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0.50725</cdr:y>
    </cdr:from>
    <cdr:to>
      <cdr:x>1</cdr:x>
      <cdr:y>0.83475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4324350" y="1628775"/>
          <a:ext cx="10287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33</xdr:row>
      <xdr:rowOff>19050</xdr:rowOff>
    </xdr:from>
    <xdr:to>
      <xdr:col>32</xdr:col>
      <xdr:colOff>190500</xdr:colOff>
      <xdr:row>47</xdr:row>
      <xdr:rowOff>57150</xdr:rowOff>
    </xdr:to>
    <xdr:graphicFrame>
      <xdr:nvGraphicFramePr>
        <xdr:cNvPr id="1" name="Chart 3"/>
        <xdr:cNvGraphicFramePr/>
      </xdr:nvGraphicFramePr>
      <xdr:xfrm>
        <a:off x="13925550" y="8029575"/>
        <a:ext cx="7381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276225</xdr:colOff>
      <xdr:row>1</xdr:row>
      <xdr:rowOff>95250</xdr:rowOff>
    </xdr:from>
    <xdr:to>
      <xdr:col>38</xdr:col>
      <xdr:colOff>95250</xdr:colOff>
      <xdr:row>15</xdr:row>
      <xdr:rowOff>180975</xdr:rowOff>
    </xdr:to>
    <xdr:graphicFrame>
      <xdr:nvGraphicFramePr>
        <xdr:cNvPr id="2" name="IRR"/>
        <xdr:cNvGraphicFramePr/>
      </xdr:nvGraphicFramePr>
      <xdr:xfrm>
        <a:off x="19564350" y="1143000"/>
        <a:ext cx="53054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1">
      <selection activeCell="AB3" sqref="AB3"/>
    </sheetView>
  </sheetViews>
  <sheetFormatPr defaultColWidth="9.140625" defaultRowHeight="15"/>
  <cols>
    <col min="2" max="2" width="10.421875" style="0" bestFit="1" customWidth="1"/>
    <col min="6" max="6" width="13.140625" style="0" bestFit="1" customWidth="1"/>
    <col min="9" max="9" width="13.421875" style="0" customWidth="1"/>
    <col min="10" max="11" width="9.140625" style="0" customWidth="1"/>
    <col min="12" max="12" width="13.57421875" style="0" bestFit="1" customWidth="1"/>
    <col min="13" max="13" width="10.00390625" style="0" bestFit="1" customWidth="1"/>
    <col min="15" max="15" width="9.57421875" style="0" bestFit="1" customWidth="1"/>
    <col min="16" max="16" width="10.421875" style="0" bestFit="1" customWidth="1"/>
    <col min="23" max="23" width="12.57421875" style="0" customWidth="1"/>
    <col min="26" max="27" width="9.140625" style="0" customWidth="1"/>
    <col min="28" max="28" width="13.28125" style="0" customWidth="1"/>
  </cols>
  <sheetData>
    <row r="1" spans="1:28" ht="82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I1" s="37" t="s">
        <v>8</v>
      </c>
      <c r="J1" s="37" t="s">
        <v>9</v>
      </c>
      <c r="K1" s="6" t="s">
        <v>10</v>
      </c>
      <c r="L1" s="37" t="s">
        <v>5</v>
      </c>
      <c r="M1" s="6" t="s">
        <v>12</v>
      </c>
      <c r="N1" s="37" t="s">
        <v>29</v>
      </c>
      <c r="O1" s="37" t="s">
        <v>13</v>
      </c>
      <c r="P1" s="37" t="s">
        <v>14</v>
      </c>
      <c r="Q1" t="s">
        <v>31</v>
      </c>
      <c r="W1" s="33"/>
      <c r="X1" s="34" t="s">
        <v>35</v>
      </c>
      <c r="Y1" s="28"/>
      <c r="Z1" s="29" t="s">
        <v>36</v>
      </c>
      <c r="AA1" s="28"/>
      <c r="AB1" s="29" t="s">
        <v>37</v>
      </c>
    </row>
    <row r="2" spans="1:28" ht="32.25" thickBot="1">
      <c r="A2" s="39" t="s">
        <v>6</v>
      </c>
      <c r="B2" s="40"/>
      <c r="C2" s="40"/>
      <c r="D2" s="40"/>
      <c r="E2" s="40"/>
      <c r="F2" s="41"/>
      <c r="I2" s="38"/>
      <c r="J2" s="38"/>
      <c r="K2" s="4" t="s">
        <v>11</v>
      </c>
      <c r="L2" s="38"/>
      <c r="M2" s="4" t="s">
        <v>11</v>
      </c>
      <c r="N2" s="38"/>
      <c r="O2" s="38"/>
      <c r="P2" s="38"/>
      <c r="R2" t="s">
        <v>32</v>
      </c>
      <c r="S2" t="s">
        <v>33</v>
      </c>
      <c r="U2">
        <v>0</v>
      </c>
      <c r="V2">
        <v>-1</v>
      </c>
      <c r="W2" s="35" t="s">
        <v>34</v>
      </c>
      <c r="X2" s="36">
        <f>45.606*1</f>
        <v>45.606</v>
      </c>
      <c r="Y2" s="35" t="s">
        <v>32</v>
      </c>
      <c r="Z2" s="36">
        <f>176.842*1</f>
        <v>176.842</v>
      </c>
      <c r="AA2" s="35" t="s">
        <v>32</v>
      </c>
      <c r="AB2" s="36">
        <f>286.506*1</f>
        <v>286.506</v>
      </c>
    </row>
    <row r="3" spans="1:29" ht="16.5" thickBot="1">
      <c r="A3" s="3">
        <v>1</v>
      </c>
      <c r="B3" s="4">
        <v>159.397</v>
      </c>
      <c r="C3" s="1">
        <v>232.876</v>
      </c>
      <c r="D3" s="4">
        <v>-2.836</v>
      </c>
      <c r="E3" s="4">
        <v>1.5</v>
      </c>
      <c r="F3" s="5">
        <f>0.3037*B3+2.73*E3+1.231*(C3+D3)+B3*A10*(1+A10)^20/((1+A10)^20-1)</f>
        <v>351.9180454297837</v>
      </c>
      <c r="I3" s="3">
        <v>0</v>
      </c>
      <c r="J3" s="4"/>
      <c r="K3" s="4">
        <f>B9</f>
        <v>45.606</v>
      </c>
      <c r="L3" s="4"/>
      <c r="M3" s="4"/>
      <c r="N3" s="4"/>
      <c r="O3" s="4">
        <f>K3</f>
        <v>45.606</v>
      </c>
      <c r="P3" s="4">
        <f>J3-O3</f>
        <v>-45.606</v>
      </c>
      <c r="Q3">
        <f>P3</f>
        <v>-45.606</v>
      </c>
      <c r="R3" s="27">
        <f>IRR(Q3:Q23)</f>
        <v>0.6221349809925114</v>
      </c>
      <c r="S3" s="24">
        <f>P3+T3</f>
        <v>241.5526023159652</v>
      </c>
      <c r="T3" s="24">
        <f>NPV(0.08,Q4:Q23)</f>
        <v>287.1586023159652</v>
      </c>
      <c r="U3">
        <v>-46.366</v>
      </c>
      <c r="V3">
        <v>0</v>
      </c>
      <c r="W3" s="30">
        <v>0.726</v>
      </c>
      <c r="X3" s="31">
        <v>-0.1</v>
      </c>
      <c r="Y3" s="30">
        <v>0.918</v>
      </c>
      <c r="Z3" s="31">
        <v>-0.1</v>
      </c>
      <c r="AA3" s="30">
        <v>0.235</v>
      </c>
      <c r="AB3" s="31">
        <v>-0.1</v>
      </c>
      <c r="AC3" s="30">
        <v>1.011</v>
      </c>
    </row>
    <row r="4" spans="1:29" ht="16.5" thickBot="1">
      <c r="A4" s="3">
        <v>2</v>
      </c>
      <c r="B4" s="4">
        <v>120.143</v>
      </c>
      <c r="C4" s="25">
        <v>210.05</v>
      </c>
      <c r="D4" s="4">
        <v>-2.851</v>
      </c>
      <c r="E4" s="4">
        <v>1.4</v>
      </c>
      <c r="F4" s="5">
        <f>0.3037*B4+2.73*E4+1.231*(C4+D4)+B4*A11*(1+A11)^20/((1+A11)^20-1)</f>
        <v>307.6082280246398</v>
      </c>
      <c r="I4" s="3">
        <v>1</v>
      </c>
      <c r="J4" s="4">
        <f>AB2</f>
        <v>286.506</v>
      </c>
      <c r="K4" s="4"/>
      <c r="L4" s="4">
        <f>F9</f>
        <v>236.21534813558867</v>
      </c>
      <c r="M4" s="4">
        <f>K3/10</f>
        <v>4.5606</v>
      </c>
      <c r="N4" s="4"/>
      <c r="O4" s="4">
        <f>L4+M4+N4</f>
        <v>240.77594813558866</v>
      </c>
      <c r="P4" s="4">
        <f aca="true" t="shared" si="0" ref="P4:P22">J4-O4</f>
        <v>45.73005186441131</v>
      </c>
      <c r="Q4">
        <f>P4-P4*0.38</f>
        <v>28.352632155935012</v>
      </c>
      <c r="U4">
        <f>U3+Q4</f>
        <v>-18.013367844064987</v>
      </c>
      <c r="V4">
        <v>1</v>
      </c>
      <c r="W4" s="30">
        <v>0.714</v>
      </c>
      <c r="X4" s="31">
        <v>-0.09</v>
      </c>
      <c r="Y4" s="30">
        <v>0.888</v>
      </c>
      <c r="Z4" s="31">
        <v>-0.09</v>
      </c>
      <c r="AA4" s="30">
        <v>0.274</v>
      </c>
      <c r="AB4" s="31">
        <v>-0.09</v>
      </c>
      <c r="AC4" s="30">
        <f>97.2%</f>
        <v>0.972</v>
      </c>
    </row>
    <row r="5" spans="1:29" ht="16.5" thickBot="1">
      <c r="A5" s="3">
        <v>3</v>
      </c>
      <c r="B5" s="4">
        <v>59.886</v>
      </c>
      <c r="C5" s="25">
        <v>198.101</v>
      </c>
      <c r="D5" s="4">
        <v>-2.8594</v>
      </c>
      <c r="E5" s="4">
        <v>1.3</v>
      </c>
      <c r="F5" s="5">
        <f>0.3037*B5+2.73*E5+1.231*(C5+D5)+B5*A12*(1+A12)^20/((1+A12)^20-1)</f>
        <v>268.17830917758323</v>
      </c>
      <c r="I5" s="3">
        <v>2</v>
      </c>
      <c r="J5" s="4">
        <f>J4</f>
        <v>286.506</v>
      </c>
      <c r="K5" s="4"/>
      <c r="L5" s="4">
        <f>L4</f>
        <v>236.21534813558867</v>
      </c>
      <c r="M5" s="4">
        <f>M4</f>
        <v>4.5606</v>
      </c>
      <c r="N5" s="4"/>
      <c r="O5" s="4">
        <f aca="true" t="shared" si="1" ref="O5:O23">L5+M5+N5</f>
        <v>240.77594813558866</v>
      </c>
      <c r="P5" s="4">
        <f t="shared" si="0"/>
        <v>45.73005186441131</v>
      </c>
      <c r="Q5">
        <f aca="true" t="shared" si="2" ref="Q5:Q23">P5-P5*0.38</f>
        <v>28.352632155935012</v>
      </c>
      <c r="U5">
        <f>U4+Q5</f>
        <v>10.339264311870025</v>
      </c>
      <c r="V5">
        <v>2</v>
      </c>
      <c r="W5" s="30">
        <v>0.703</v>
      </c>
      <c r="X5" s="31">
        <v>-0.08</v>
      </c>
      <c r="Y5" s="30">
        <v>0.859</v>
      </c>
      <c r="Z5" s="31">
        <v>-0.08</v>
      </c>
      <c r="AA5" s="30">
        <v>0.313</v>
      </c>
      <c r="AB5" s="31">
        <v>-0.08</v>
      </c>
      <c r="AC5" s="30">
        <v>0.933</v>
      </c>
    </row>
    <row r="6" spans="1:29" ht="16.5" thickBot="1">
      <c r="A6" s="39" t="s">
        <v>7</v>
      </c>
      <c r="B6" s="40"/>
      <c r="C6" s="40"/>
      <c r="D6" s="40"/>
      <c r="E6" s="40"/>
      <c r="F6" s="41"/>
      <c r="I6" s="3">
        <v>3</v>
      </c>
      <c r="J6" s="4">
        <f aca="true" t="shared" si="3" ref="J6:J23">J5</f>
        <v>286.506</v>
      </c>
      <c r="K6" s="4"/>
      <c r="L6" s="4">
        <f aca="true" t="shared" si="4" ref="L6:L23">L5</f>
        <v>236.21534813558867</v>
      </c>
      <c r="M6" s="4">
        <f aca="true" t="shared" si="5" ref="M6:M13">M5</f>
        <v>4.5606</v>
      </c>
      <c r="N6" s="4"/>
      <c r="O6" s="4">
        <f t="shared" si="1"/>
        <v>240.77594813558866</v>
      </c>
      <c r="P6" s="4">
        <f t="shared" si="0"/>
        <v>45.73005186441131</v>
      </c>
      <c r="Q6">
        <f t="shared" si="2"/>
        <v>28.352632155935012</v>
      </c>
      <c r="U6">
        <f aca="true" t="shared" si="6" ref="U6:U23">U5+Q6</f>
        <v>38.69189646780504</v>
      </c>
      <c r="V6">
        <v>3</v>
      </c>
      <c r="W6" s="30">
        <v>0.692</v>
      </c>
      <c r="X6" s="31">
        <v>-0.07</v>
      </c>
      <c r="Y6" s="30">
        <v>0.829</v>
      </c>
      <c r="Z6" s="31">
        <v>-0.07</v>
      </c>
      <c r="AA6" s="30">
        <v>0.351</v>
      </c>
      <c r="AB6" s="31">
        <v>-0.07</v>
      </c>
      <c r="AC6" s="30">
        <v>0.894</v>
      </c>
    </row>
    <row r="7" spans="1:29" ht="16.5" thickBot="1">
      <c r="A7" s="3">
        <v>1</v>
      </c>
      <c r="B7" s="1">
        <v>99.198</v>
      </c>
      <c r="C7" s="1">
        <v>204.742</v>
      </c>
      <c r="D7" s="4">
        <v>-2.843</v>
      </c>
      <c r="E7" s="4">
        <v>1.4</v>
      </c>
      <c r="F7" s="4">
        <f>0.3037*B7+2.73*E7+1.231*(C7+D7)+B7*A12*(1+A12)^20/((1+A12)^20-1)</f>
        <v>292.58963701083894</v>
      </c>
      <c r="I7" s="3">
        <v>4</v>
      </c>
      <c r="J7" s="4">
        <f t="shared" si="3"/>
        <v>286.506</v>
      </c>
      <c r="K7" s="4"/>
      <c r="L7" s="4">
        <f t="shared" si="4"/>
        <v>236.21534813558867</v>
      </c>
      <c r="M7" s="4">
        <f t="shared" si="5"/>
        <v>4.5606</v>
      </c>
      <c r="N7" s="4"/>
      <c r="O7" s="4">
        <f t="shared" si="1"/>
        <v>240.77594813558866</v>
      </c>
      <c r="P7" s="4">
        <f t="shared" si="0"/>
        <v>45.73005186441131</v>
      </c>
      <c r="Q7">
        <f t="shared" si="2"/>
        <v>28.352632155935012</v>
      </c>
      <c r="U7">
        <f t="shared" si="6"/>
        <v>67.04452862374005</v>
      </c>
      <c r="V7">
        <v>4</v>
      </c>
      <c r="W7" s="30">
        <v>0.682</v>
      </c>
      <c r="X7" s="31">
        <v>-0.06</v>
      </c>
      <c r="Y7" s="30">
        <v>0.799</v>
      </c>
      <c r="Z7" s="31">
        <v>-0.06</v>
      </c>
      <c r="AA7" s="30">
        <v>0.39</v>
      </c>
      <c r="AB7" s="31">
        <v>-0.06</v>
      </c>
      <c r="AC7" s="30">
        <v>0.856</v>
      </c>
    </row>
    <row r="8" spans="1:29" ht="16.5" thickBot="1">
      <c r="A8" s="3">
        <v>2</v>
      </c>
      <c r="B8" s="26">
        <v>58.008</v>
      </c>
      <c r="C8" s="25">
        <v>187.3</v>
      </c>
      <c r="D8" s="4">
        <v>-2.8542</v>
      </c>
      <c r="E8" s="4">
        <v>1.3</v>
      </c>
      <c r="F8" s="4">
        <f>0.3037*B8+2.73*E8+1.231*(C8+D8)+B8*A13*(1+A13)^20/((1+A13)^20-1)</f>
        <v>254.12705232941337</v>
      </c>
      <c r="I8" s="3">
        <v>5</v>
      </c>
      <c r="J8" s="4">
        <f t="shared" si="3"/>
        <v>286.506</v>
      </c>
      <c r="K8" s="4"/>
      <c r="L8" s="4">
        <f t="shared" si="4"/>
        <v>236.21534813558867</v>
      </c>
      <c r="M8" s="4">
        <f t="shared" si="5"/>
        <v>4.5606</v>
      </c>
      <c r="N8" s="4"/>
      <c r="O8" s="4">
        <f t="shared" si="1"/>
        <v>240.77594813558866</v>
      </c>
      <c r="P8" s="4">
        <f t="shared" si="0"/>
        <v>45.73005186441131</v>
      </c>
      <c r="Q8">
        <f t="shared" si="2"/>
        <v>28.352632155935012</v>
      </c>
      <c r="U8">
        <f t="shared" si="6"/>
        <v>95.39716077967506</v>
      </c>
      <c r="V8">
        <v>5</v>
      </c>
      <c r="W8" s="30">
        <v>0.671</v>
      </c>
      <c r="X8" s="31">
        <v>-0.05</v>
      </c>
      <c r="Y8" s="30">
        <v>0.77</v>
      </c>
      <c r="Z8" s="31">
        <v>-0.05</v>
      </c>
      <c r="AA8" s="30">
        <v>0.428</v>
      </c>
      <c r="AB8" s="31">
        <v>-0.05</v>
      </c>
      <c r="AC8" s="30">
        <v>0.817</v>
      </c>
    </row>
    <row r="9" spans="1:29" ht="16.5" thickBot="1">
      <c r="A9" s="3">
        <v>3</v>
      </c>
      <c r="B9" s="26">
        <f>X2</f>
        <v>45.606</v>
      </c>
      <c r="C9" s="25">
        <f>Z2</f>
        <v>176.842</v>
      </c>
      <c r="D9" s="4">
        <v>-2.8609</v>
      </c>
      <c r="E9" s="4">
        <v>1.3</v>
      </c>
      <c r="F9" s="4">
        <f>0.3037*B9+2.73*E9+1.231*(C9+D9)+B9*A14*(1+A14)^20/((1+A14)^20-1)</f>
        <v>236.21534813558867</v>
      </c>
      <c r="I9" s="3">
        <v>6</v>
      </c>
      <c r="J9" s="4">
        <f t="shared" si="3"/>
        <v>286.506</v>
      </c>
      <c r="K9" s="4"/>
      <c r="L9" s="4">
        <f t="shared" si="4"/>
        <v>236.21534813558867</v>
      </c>
      <c r="M9" s="4">
        <f t="shared" si="5"/>
        <v>4.5606</v>
      </c>
      <c r="N9" s="4"/>
      <c r="O9" s="4">
        <f t="shared" si="1"/>
        <v>240.77594813558866</v>
      </c>
      <c r="P9" s="4">
        <f t="shared" si="0"/>
        <v>45.73005186441131</v>
      </c>
      <c r="Q9">
        <f t="shared" si="2"/>
        <v>28.352632155935012</v>
      </c>
      <c r="U9">
        <f t="shared" si="6"/>
        <v>123.74979293561007</v>
      </c>
      <c r="V9">
        <v>6</v>
      </c>
      <c r="W9" s="30">
        <v>0.661</v>
      </c>
      <c r="X9" s="31">
        <v>-0.0399999999999999</v>
      </c>
      <c r="Y9" s="30">
        <v>0.74</v>
      </c>
      <c r="Z9" s="31">
        <v>-0.0399999999999999</v>
      </c>
      <c r="AA9" s="30">
        <v>0.467</v>
      </c>
      <c r="AB9" s="31">
        <v>-0.0399999999999999</v>
      </c>
      <c r="AC9" s="30">
        <v>0.778</v>
      </c>
    </row>
    <row r="10" spans="1:29" ht="16.5" thickBot="1">
      <c r="A10">
        <v>0.08</v>
      </c>
      <c r="I10" s="3">
        <v>7</v>
      </c>
      <c r="J10" s="4">
        <f t="shared" si="3"/>
        <v>286.506</v>
      </c>
      <c r="K10" s="4"/>
      <c r="L10" s="4">
        <f t="shared" si="4"/>
        <v>236.21534813558867</v>
      </c>
      <c r="M10" s="4">
        <f t="shared" si="5"/>
        <v>4.5606</v>
      </c>
      <c r="N10" s="4"/>
      <c r="O10" s="4">
        <f t="shared" si="1"/>
        <v>240.77594813558866</v>
      </c>
      <c r="P10" s="4">
        <f t="shared" si="0"/>
        <v>45.73005186441131</v>
      </c>
      <c r="Q10">
        <f t="shared" si="2"/>
        <v>28.352632155935012</v>
      </c>
      <c r="U10">
        <f t="shared" si="6"/>
        <v>152.1024250915451</v>
      </c>
      <c r="V10">
        <v>7</v>
      </c>
      <c r="W10" s="30">
        <v>0.651</v>
      </c>
      <c r="X10" s="31">
        <v>-0.0299999999999999</v>
      </c>
      <c r="Y10" s="30">
        <v>0.711</v>
      </c>
      <c r="Z10" s="31">
        <v>-0.0299999999999999</v>
      </c>
      <c r="AA10" s="30">
        <v>0.506</v>
      </c>
      <c r="AB10" s="31">
        <v>-0.0299999999999999</v>
      </c>
      <c r="AC10" s="30">
        <v>0.739</v>
      </c>
    </row>
    <row r="11" spans="1:29" ht="16.5" thickBot="1">
      <c r="A11">
        <v>0.08</v>
      </c>
      <c r="B11">
        <v>-100000</v>
      </c>
      <c r="I11" s="3">
        <v>8</v>
      </c>
      <c r="J11" s="4">
        <f t="shared" si="3"/>
        <v>286.506</v>
      </c>
      <c r="K11" s="4"/>
      <c r="L11" s="4">
        <f t="shared" si="4"/>
        <v>236.21534813558867</v>
      </c>
      <c r="M11" s="4">
        <f t="shared" si="5"/>
        <v>4.5606</v>
      </c>
      <c r="N11" s="4"/>
      <c r="O11" s="4">
        <f t="shared" si="1"/>
        <v>240.77594813558866</v>
      </c>
      <c r="P11" s="4">
        <f t="shared" si="0"/>
        <v>45.73005186441131</v>
      </c>
      <c r="Q11">
        <f t="shared" si="2"/>
        <v>28.352632155935012</v>
      </c>
      <c r="U11">
        <f t="shared" si="6"/>
        <v>180.4550572474801</v>
      </c>
      <c r="V11">
        <v>8</v>
      </c>
      <c r="W11" s="30">
        <v>0.641</v>
      </c>
      <c r="X11" s="31">
        <v>-0.0199999999999999</v>
      </c>
      <c r="Y11" s="30">
        <v>0.681</v>
      </c>
      <c r="Z11" s="31">
        <v>-0.0199999999999999</v>
      </c>
      <c r="AA11" s="30">
        <v>0.544</v>
      </c>
      <c r="AB11" s="31">
        <v>-0.0199999999999999</v>
      </c>
      <c r="AC11" s="30">
        <v>0.7</v>
      </c>
    </row>
    <row r="12" spans="1:29" ht="16.5" thickBot="1">
      <c r="A12">
        <v>0.08</v>
      </c>
      <c r="B12">
        <v>25000</v>
      </c>
      <c r="I12" s="3">
        <v>9</v>
      </c>
      <c r="J12" s="4">
        <f t="shared" si="3"/>
        <v>286.506</v>
      </c>
      <c r="K12" s="4"/>
      <c r="L12" s="4">
        <f t="shared" si="4"/>
        <v>236.21534813558867</v>
      </c>
      <c r="M12" s="4">
        <f t="shared" si="5"/>
        <v>4.5606</v>
      </c>
      <c r="N12" s="4"/>
      <c r="O12" s="4">
        <f t="shared" si="1"/>
        <v>240.77594813558866</v>
      </c>
      <c r="P12" s="4">
        <f t="shared" si="0"/>
        <v>45.73005186441131</v>
      </c>
      <c r="Q12">
        <f t="shared" si="2"/>
        <v>28.352632155935012</v>
      </c>
      <c r="U12">
        <f t="shared" si="6"/>
        <v>208.8076894034151</v>
      </c>
      <c r="V12">
        <v>9</v>
      </c>
      <c r="W12" s="30">
        <v>0.632</v>
      </c>
      <c r="X12" s="31">
        <v>-0.00999999999999991</v>
      </c>
      <c r="Y12" s="30">
        <v>0.652</v>
      </c>
      <c r="Z12" s="31">
        <v>-0.00999999999999991</v>
      </c>
      <c r="AA12" s="30">
        <v>0.583</v>
      </c>
      <c r="AB12" s="31">
        <v>-0.00999999999999991</v>
      </c>
      <c r="AC12" s="30">
        <v>0.661</v>
      </c>
    </row>
    <row r="13" spans="1:29" ht="16.5" thickBot="1">
      <c r="A13">
        <v>0.08</v>
      </c>
      <c r="B13">
        <v>25000</v>
      </c>
      <c r="I13" s="3">
        <v>10</v>
      </c>
      <c r="J13" s="4">
        <f t="shared" si="3"/>
        <v>286.506</v>
      </c>
      <c r="K13" s="4"/>
      <c r="L13" s="4">
        <f t="shared" si="4"/>
        <v>236.21534813558867</v>
      </c>
      <c r="M13" s="4">
        <f t="shared" si="5"/>
        <v>4.5606</v>
      </c>
      <c r="N13" s="4"/>
      <c r="O13" s="4">
        <f t="shared" si="1"/>
        <v>240.77594813558866</v>
      </c>
      <c r="P13" s="4">
        <f t="shared" si="0"/>
        <v>45.73005186441131</v>
      </c>
      <c r="Q13">
        <f t="shared" si="2"/>
        <v>28.352632155935012</v>
      </c>
      <c r="U13">
        <f t="shared" si="6"/>
        <v>237.1603215593501</v>
      </c>
      <c r="V13">
        <v>10</v>
      </c>
      <c r="W13" s="30">
        <v>0.62</v>
      </c>
      <c r="X13" s="31">
        <v>0</v>
      </c>
      <c r="Y13" s="30">
        <v>0.62</v>
      </c>
      <c r="Z13" s="31">
        <v>0</v>
      </c>
      <c r="AA13" s="30">
        <v>0.62</v>
      </c>
      <c r="AB13" s="31">
        <v>0</v>
      </c>
      <c r="AC13" s="30">
        <v>0.62</v>
      </c>
    </row>
    <row r="14" spans="1:29" ht="16.5" thickBot="1">
      <c r="A14">
        <v>0.08</v>
      </c>
      <c r="B14">
        <v>25000</v>
      </c>
      <c r="I14" s="3">
        <v>11</v>
      </c>
      <c r="J14" s="4">
        <f t="shared" si="3"/>
        <v>286.506</v>
      </c>
      <c r="K14" s="4"/>
      <c r="L14" s="4">
        <f t="shared" si="4"/>
        <v>236.21534813558867</v>
      </c>
      <c r="M14" s="4"/>
      <c r="N14" s="4"/>
      <c r="O14" s="4">
        <f t="shared" si="1"/>
        <v>236.21534813558867</v>
      </c>
      <c r="P14" s="4">
        <f t="shared" si="0"/>
        <v>50.2906518644113</v>
      </c>
      <c r="Q14">
        <f t="shared" si="2"/>
        <v>31.18020415593501</v>
      </c>
      <c r="U14">
        <f t="shared" si="6"/>
        <v>268.34052571528514</v>
      </c>
      <c r="V14">
        <v>11</v>
      </c>
      <c r="W14" s="30">
        <v>0.613</v>
      </c>
      <c r="X14" s="31">
        <v>0.01</v>
      </c>
      <c r="Y14" s="30">
        <v>0.593</v>
      </c>
      <c r="Z14" s="31">
        <v>0.01</v>
      </c>
      <c r="AA14" s="30">
        <v>0.661</v>
      </c>
      <c r="AB14" s="31">
        <v>0.01</v>
      </c>
      <c r="AC14" s="30">
        <v>0.583</v>
      </c>
    </row>
    <row r="15" spans="1:29" ht="16.5" thickBot="1">
      <c r="A15">
        <v>0.08</v>
      </c>
      <c r="B15">
        <v>25000</v>
      </c>
      <c r="I15" s="3">
        <v>12</v>
      </c>
      <c r="J15" s="4">
        <f t="shared" si="3"/>
        <v>286.506</v>
      </c>
      <c r="K15" s="4"/>
      <c r="L15" s="4">
        <f t="shared" si="4"/>
        <v>236.21534813558867</v>
      </c>
      <c r="M15" s="4"/>
      <c r="N15" s="4"/>
      <c r="O15" s="4">
        <f t="shared" si="1"/>
        <v>236.21534813558867</v>
      </c>
      <c r="P15" s="4">
        <f t="shared" si="0"/>
        <v>50.2906518644113</v>
      </c>
      <c r="Q15">
        <f t="shared" si="2"/>
        <v>31.18020415593501</v>
      </c>
      <c r="U15">
        <f t="shared" si="6"/>
        <v>299.52072987122017</v>
      </c>
      <c r="V15">
        <v>12</v>
      </c>
      <c r="W15" s="30">
        <v>0.604</v>
      </c>
      <c r="X15" s="31">
        <v>0.02</v>
      </c>
      <c r="Y15" s="30">
        <v>0.563</v>
      </c>
      <c r="Z15" s="31">
        <v>0.02</v>
      </c>
      <c r="AA15" s="30">
        <v>0.7</v>
      </c>
      <c r="AB15" s="31">
        <v>0.02</v>
      </c>
      <c r="AC15" s="30">
        <v>0.544</v>
      </c>
    </row>
    <row r="16" spans="1:29" ht="16.5" thickBot="1">
      <c r="A16">
        <v>0.08</v>
      </c>
      <c r="B16">
        <v>25000</v>
      </c>
      <c r="I16" s="3">
        <v>13</v>
      </c>
      <c r="J16" s="4">
        <f t="shared" si="3"/>
        <v>286.506</v>
      </c>
      <c r="K16" s="4"/>
      <c r="L16" s="4">
        <f t="shared" si="4"/>
        <v>236.21534813558867</v>
      </c>
      <c r="M16" s="4"/>
      <c r="N16" s="4"/>
      <c r="O16" s="4">
        <f t="shared" si="1"/>
        <v>236.21534813558867</v>
      </c>
      <c r="P16" s="4">
        <f t="shared" si="0"/>
        <v>50.2906518644113</v>
      </c>
      <c r="Q16">
        <f t="shared" si="2"/>
        <v>31.18020415593501</v>
      </c>
      <c r="U16">
        <f t="shared" si="6"/>
        <v>330.7009340271552</v>
      </c>
      <c r="V16">
        <v>13</v>
      </c>
      <c r="W16" s="30">
        <v>0.595</v>
      </c>
      <c r="X16" s="31">
        <v>0.03</v>
      </c>
      <c r="Y16" s="30">
        <v>0.534</v>
      </c>
      <c r="Z16" s="31">
        <v>0.03</v>
      </c>
      <c r="AA16" s="30">
        <v>0.739</v>
      </c>
      <c r="AB16" s="31">
        <v>0.03</v>
      </c>
      <c r="AC16" s="30">
        <v>0.506</v>
      </c>
    </row>
    <row r="17" spans="1:29" ht="16.5" thickBot="1">
      <c r="A17">
        <v>0.08</v>
      </c>
      <c r="B17">
        <v>25000</v>
      </c>
      <c r="I17" s="3">
        <v>14</v>
      </c>
      <c r="J17" s="4">
        <f t="shared" si="3"/>
        <v>286.506</v>
      </c>
      <c r="K17" s="4"/>
      <c r="L17" s="4">
        <f t="shared" si="4"/>
        <v>236.21534813558867</v>
      </c>
      <c r="M17" s="4"/>
      <c r="N17" s="4"/>
      <c r="O17" s="4">
        <f t="shared" si="1"/>
        <v>236.21534813558867</v>
      </c>
      <c r="P17" s="4">
        <f t="shared" si="0"/>
        <v>50.2906518644113</v>
      </c>
      <c r="Q17">
        <f t="shared" si="2"/>
        <v>31.18020415593501</v>
      </c>
      <c r="U17">
        <f t="shared" si="6"/>
        <v>361.88113818309023</v>
      </c>
      <c r="V17">
        <v>14</v>
      </c>
      <c r="W17" s="30">
        <v>0.586</v>
      </c>
      <c r="X17" s="31">
        <v>0.04</v>
      </c>
      <c r="Y17" s="30">
        <v>0.504</v>
      </c>
      <c r="Z17" s="31">
        <v>0.04</v>
      </c>
      <c r="AA17" s="30">
        <v>0.778</v>
      </c>
      <c r="AB17" s="31">
        <v>0.04</v>
      </c>
      <c r="AC17" s="30">
        <v>0.467</v>
      </c>
    </row>
    <row r="18" spans="1:29" ht="16.5" thickBot="1">
      <c r="A18">
        <v>0.08</v>
      </c>
      <c r="B18" s="23">
        <f>NPV(0.1,B12:B17)</f>
        <v>108881.5174865556</v>
      </c>
      <c r="I18" s="3">
        <v>15</v>
      </c>
      <c r="J18" s="4">
        <f t="shared" si="3"/>
        <v>286.506</v>
      </c>
      <c r="K18" s="4"/>
      <c r="L18" s="4">
        <f t="shared" si="4"/>
        <v>236.21534813558867</v>
      </c>
      <c r="M18" s="4"/>
      <c r="N18" s="4"/>
      <c r="O18" s="4">
        <f t="shared" si="1"/>
        <v>236.21534813558867</v>
      </c>
      <c r="P18" s="4">
        <f t="shared" si="0"/>
        <v>50.2906518644113</v>
      </c>
      <c r="Q18">
        <f t="shared" si="2"/>
        <v>31.18020415593501</v>
      </c>
      <c r="U18">
        <f t="shared" si="6"/>
        <v>393.06134233902526</v>
      </c>
      <c r="V18">
        <v>15</v>
      </c>
      <c r="W18" s="30">
        <v>0.578</v>
      </c>
      <c r="X18" s="31">
        <v>0.05</v>
      </c>
      <c r="Y18" s="30">
        <v>0.475</v>
      </c>
      <c r="Z18" s="31">
        <v>0.05</v>
      </c>
      <c r="AA18" s="30">
        <v>0.817</v>
      </c>
      <c r="AB18" s="31">
        <v>0.05</v>
      </c>
      <c r="AC18" s="30">
        <v>0.428</v>
      </c>
    </row>
    <row r="19" spans="9:29" ht="16.5" thickBot="1">
      <c r="I19" s="3">
        <v>16</v>
      </c>
      <c r="J19" s="4">
        <f t="shared" si="3"/>
        <v>286.506</v>
      </c>
      <c r="K19" s="4"/>
      <c r="L19" s="4">
        <f t="shared" si="4"/>
        <v>236.21534813558867</v>
      </c>
      <c r="M19" s="4"/>
      <c r="N19" s="4"/>
      <c r="O19" s="4">
        <f t="shared" si="1"/>
        <v>236.21534813558867</v>
      </c>
      <c r="P19" s="4">
        <f t="shared" si="0"/>
        <v>50.2906518644113</v>
      </c>
      <c r="Q19">
        <f t="shared" si="2"/>
        <v>31.18020415593501</v>
      </c>
      <c r="S19" s="27">
        <f>R3</f>
        <v>0.6221349809925114</v>
      </c>
      <c r="U19">
        <f t="shared" si="6"/>
        <v>424.2415464949603</v>
      </c>
      <c r="V19">
        <v>16</v>
      </c>
      <c r="W19" s="30">
        <v>0.569</v>
      </c>
      <c r="X19" s="31">
        <v>0.06</v>
      </c>
      <c r="Y19" s="30">
        <v>0.445</v>
      </c>
      <c r="Z19" s="31">
        <v>0.06</v>
      </c>
      <c r="AA19" s="30">
        <v>0.856</v>
      </c>
      <c r="AB19" s="31">
        <v>0.06</v>
      </c>
      <c r="AC19" s="30">
        <v>0.39</v>
      </c>
    </row>
    <row r="20" spans="9:29" ht="16.5" thickBot="1">
      <c r="I20" s="3">
        <v>17</v>
      </c>
      <c r="J20" s="4">
        <f t="shared" si="3"/>
        <v>286.506</v>
      </c>
      <c r="K20" s="4"/>
      <c r="L20" s="4">
        <f t="shared" si="4"/>
        <v>236.21534813558867</v>
      </c>
      <c r="M20" s="4"/>
      <c r="N20" s="4"/>
      <c r="O20" s="4">
        <f t="shared" si="1"/>
        <v>236.21534813558867</v>
      </c>
      <c r="P20" s="4">
        <f t="shared" si="0"/>
        <v>50.2906518644113</v>
      </c>
      <c r="Q20">
        <f t="shared" si="2"/>
        <v>31.18020415593501</v>
      </c>
      <c r="U20">
        <f t="shared" si="6"/>
        <v>455.4217506508953</v>
      </c>
      <c r="V20">
        <v>17</v>
      </c>
      <c r="W20" s="30">
        <v>0.561</v>
      </c>
      <c r="X20" s="31">
        <v>0.07</v>
      </c>
      <c r="Y20" s="30">
        <v>0.416</v>
      </c>
      <c r="Z20" s="31">
        <v>0.07</v>
      </c>
      <c r="AA20" s="30">
        <v>0.894</v>
      </c>
      <c r="AB20" s="31">
        <v>0.07</v>
      </c>
      <c r="AC20" s="30">
        <v>0.351</v>
      </c>
    </row>
    <row r="21" spans="9:29" ht="16.5" thickBot="1">
      <c r="I21" s="3">
        <v>18</v>
      </c>
      <c r="J21" s="4">
        <f t="shared" si="3"/>
        <v>286.506</v>
      </c>
      <c r="K21" s="4"/>
      <c r="L21" s="4">
        <f t="shared" si="4"/>
        <v>236.21534813558867</v>
      </c>
      <c r="M21" s="4"/>
      <c r="N21" s="4"/>
      <c r="O21" s="4">
        <f t="shared" si="1"/>
        <v>236.21534813558867</v>
      </c>
      <c r="P21" s="4">
        <f t="shared" si="0"/>
        <v>50.2906518644113</v>
      </c>
      <c r="Q21">
        <f t="shared" si="2"/>
        <v>31.18020415593501</v>
      </c>
      <c r="U21">
        <f t="shared" si="6"/>
        <v>486.60195480683035</v>
      </c>
      <c r="V21">
        <v>18</v>
      </c>
      <c r="W21" s="30">
        <v>0.553</v>
      </c>
      <c r="X21" s="31">
        <v>0.08</v>
      </c>
      <c r="Y21" s="30">
        <v>0.387</v>
      </c>
      <c r="Z21" s="31">
        <v>0.08</v>
      </c>
      <c r="AA21" s="30">
        <v>0.933</v>
      </c>
      <c r="AB21" s="31">
        <v>0.08</v>
      </c>
      <c r="AC21" s="30">
        <v>0.313</v>
      </c>
    </row>
    <row r="22" spans="9:29" ht="16.5" thickBot="1">
      <c r="I22" s="3">
        <v>19</v>
      </c>
      <c r="J22" s="4">
        <f t="shared" si="3"/>
        <v>286.506</v>
      </c>
      <c r="K22" s="4"/>
      <c r="L22" s="4">
        <f t="shared" si="4"/>
        <v>236.21534813558867</v>
      </c>
      <c r="M22" s="4"/>
      <c r="N22" s="4"/>
      <c r="O22" s="4">
        <f t="shared" si="1"/>
        <v>236.21534813558867</v>
      </c>
      <c r="P22" s="4">
        <f t="shared" si="0"/>
        <v>50.2906518644113</v>
      </c>
      <c r="Q22">
        <f t="shared" si="2"/>
        <v>31.18020415593501</v>
      </c>
      <c r="U22">
        <f t="shared" si="6"/>
        <v>517.7821589627654</v>
      </c>
      <c r="V22">
        <v>19</v>
      </c>
      <c r="W22" s="30">
        <v>0.545</v>
      </c>
      <c r="X22" s="31">
        <v>0.09</v>
      </c>
      <c r="Y22" s="30">
        <v>0.357</v>
      </c>
      <c r="Z22" s="31">
        <v>0.09</v>
      </c>
      <c r="AA22" s="30">
        <v>0.972</v>
      </c>
      <c r="AB22" s="31">
        <v>0.09</v>
      </c>
      <c r="AC22" s="30">
        <v>0.274</v>
      </c>
    </row>
    <row r="23" spans="9:29" ht="16.5" thickBot="1">
      <c r="I23" s="3">
        <v>20</v>
      </c>
      <c r="J23" s="4">
        <f t="shared" si="3"/>
        <v>286.506</v>
      </c>
      <c r="K23" s="4"/>
      <c r="L23" s="4">
        <f t="shared" si="4"/>
        <v>236.21534813558867</v>
      </c>
      <c r="M23" s="4"/>
      <c r="N23" s="4"/>
      <c r="O23" s="4">
        <f t="shared" si="1"/>
        <v>236.21534813558867</v>
      </c>
      <c r="P23" s="4">
        <f>J23-O23</f>
        <v>50.2906518644113</v>
      </c>
      <c r="Q23">
        <f t="shared" si="2"/>
        <v>31.18020415593501</v>
      </c>
      <c r="U23">
        <f t="shared" si="6"/>
        <v>548.9623631187004</v>
      </c>
      <c r="V23">
        <v>20</v>
      </c>
      <c r="W23" s="32">
        <v>0.537</v>
      </c>
      <c r="X23" s="31">
        <v>0.1</v>
      </c>
      <c r="Y23" s="32">
        <v>0.328</v>
      </c>
      <c r="Z23" s="31">
        <v>0.1</v>
      </c>
      <c r="AA23" s="32">
        <v>1.011</v>
      </c>
      <c r="AB23" s="31">
        <v>0.1</v>
      </c>
      <c r="AC23" s="32">
        <v>0.235</v>
      </c>
    </row>
    <row r="24" spans="16:17" ht="15.75">
      <c r="P24" s="11">
        <f>SUM(P3:P23)</f>
        <v>914.601037288226</v>
      </c>
      <c r="Q24" s="22">
        <f>SUM(Q3:Q23)</f>
        <v>549.7223631187004</v>
      </c>
    </row>
    <row r="25" ht="15.75" thickBot="1"/>
    <row r="26" spans="3:17" ht="27" thickBot="1" thickTop="1">
      <c r="C26" s="10"/>
      <c r="D26" s="8"/>
      <c r="E26" s="8"/>
      <c r="F26" s="8"/>
      <c r="G26" s="8"/>
      <c r="H26" s="8"/>
      <c r="I26" s="8"/>
      <c r="J26" s="8"/>
      <c r="K26" s="9" t="s">
        <v>15</v>
      </c>
      <c r="L26" s="8" t="s">
        <v>16</v>
      </c>
      <c r="M26" s="8" t="s">
        <v>17</v>
      </c>
      <c r="N26" s="8" t="s">
        <v>18</v>
      </c>
      <c r="O26" s="8" t="s">
        <v>19</v>
      </c>
      <c r="P26" s="8" t="s">
        <v>20</v>
      </c>
      <c r="Q26" s="8" t="s">
        <v>21</v>
      </c>
    </row>
    <row r="27" spans="3:17" ht="16.5" thickBot="1" thickTop="1">
      <c r="C27" s="10"/>
      <c r="D27" s="8"/>
      <c r="E27" s="8"/>
      <c r="F27" s="8"/>
      <c r="G27" s="8"/>
      <c r="H27" s="8"/>
      <c r="I27" s="8"/>
      <c r="J27" s="8" t="s">
        <v>22</v>
      </c>
      <c r="K27" s="7">
        <v>0.62447</v>
      </c>
      <c r="L27" s="8">
        <v>659</v>
      </c>
      <c r="M27" s="8">
        <v>659</v>
      </c>
      <c r="N27" s="8"/>
      <c r="O27" s="8"/>
      <c r="P27" s="8"/>
      <c r="Q27" s="8"/>
    </row>
    <row r="28" spans="3:17" ht="15.75" thickBot="1">
      <c r="C28" s="10"/>
      <c r="D28" s="8"/>
      <c r="E28" s="8"/>
      <c r="F28" s="8"/>
      <c r="G28" s="8"/>
      <c r="H28" s="8"/>
      <c r="I28" s="8"/>
      <c r="J28" s="8" t="s">
        <v>23</v>
      </c>
      <c r="K28" s="7">
        <v>0.7761</v>
      </c>
      <c r="L28" s="8">
        <v>576</v>
      </c>
      <c r="M28" s="8"/>
      <c r="N28" s="8"/>
      <c r="O28" s="8"/>
      <c r="P28" s="8"/>
      <c r="Q28" s="8"/>
    </row>
    <row r="29" spans="3:17" ht="15.75" thickBot="1">
      <c r="C29" s="10"/>
      <c r="D29" s="8"/>
      <c r="E29" s="8"/>
      <c r="F29" s="8"/>
      <c r="G29" s="8"/>
      <c r="H29" s="8"/>
      <c r="I29" s="8"/>
      <c r="J29" s="8" t="s">
        <v>24</v>
      </c>
      <c r="K29" s="7">
        <v>0.75447</v>
      </c>
      <c r="L29" s="8">
        <v>1136</v>
      </c>
      <c r="M29" s="8"/>
      <c r="N29" s="8"/>
      <c r="O29" s="8"/>
      <c r="P29" s="8"/>
      <c r="Q29" s="8"/>
    </row>
    <row r="30" spans="3:17" ht="15.75" thickBot="1">
      <c r="C30" s="10"/>
      <c r="D30" s="8"/>
      <c r="E30" s="8"/>
      <c r="F30" s="8"/>
      <c r="G30" s="8"/>
      <c r="H30" s="8"/>
      <c r="I30" s="8"/>
      <c r="J30" s="8" t="s">
        <v>25</v>
      </c>
      <c r="K30" s="7">
        <v>0.76213</v>
      </c>
      <c r="L30" s="8"/>
      <c r="M30" s="8">
        <v>1712</v>
      </c>
      <c r="N30" s="8"/>
      <c r="O30" s="8"/>
      <c r="P30" s="8"/>
      <c r="Q30" s="8"/>
    </row>
    <row r="31" spans="3:17" ht="15.75" thickBot="1">
      <c r="C31" s="10"/>
      <c r="D31" s="8"/>
      <c r="E31" s="8"/>
      <c r="F31" s="8"/>
      <c r="G31" s="8"/>
      <c r="H31" s="8"/>
      <c r="I31" s="8"/>
      <c r="J31" s="8" t="s">
        <v>26</v>
      </c>
      <c r="K31" s="13">
        <v>1.08716</v>
      </c>
      <c r="L31" s="8">
        <v>29140</v>
      </c>
      <c r="M31" s="8">
        <v>29140</v>
      </c>
      <c r="N31" s="8">
        <v>29140</v>
      </c>
      <c r="O31" s="8"/>
      <c r="P31" s="8"/>
      <c r="Q31" s="8"/>
    </row>
    <row r="32" spans="10:17" ht="15.75" thickBot="1">
      <c r="J32" s="8" t="s">
        <v>30</v>
      </c>
      <c r="K32" s="14">
        <v>0.62447</v>
      </c>
      <c r="L32" s="8"/>
      <c r="M32" s="8"/>
      <c r="N32" s="8">
        <v>2371</v>
      </c>
      <c r="O32" s="8"/>
      <c r="P32" s="8"/>
      <c r="Q32" s="8"/>
    </row>
    <row r="33" spans="10:17" ht="15.75" thickBot="1">
      <c r="J33" s="8"/>
      <c r="K33" s="8"/>
      <c r="L33" s="8"/>
      <c r="M33" s="8"/>
      <c r="N33" s="8"/>
      <c r="O33" s="8"/>
      <c r="P33" s="8"/>
      <c r="Q33" s="8"/>
    </row>
    <row r="34" spans="10:17" ht="15.75" thickBot="1">
      <c r="J34" s="15" t="s">
        <v>27</v>
      </c>
      <c r="K34" s="8"/>
      <c r="L34" s="16">
        <f>K27*L27+K28*L28+K29*L29+K31*L31</f>
        <v>33395.479649999994</v>
      </c>
      <c r="M34" s="17">
        <f>M27*K27+M30*K30+M31*K31</f>
        <v>33396.13469</v>
      </c>
      <c r="N34" s="17">
        <f>N31*K31+N32*K32</f>
        <v>33160.46077</v>
      </c>
      <c r="O34" s="17"/>
      <c r="P34" s="17"/>
      <c r="Q34" s="18"/>
    </row>
    <row r="35" spans="10:17" ht="15.75" thickBot="1">
      <c r="J35" s="8" t="s">
        <v>28</v>
      </c>
      <c r="K35" s="8"/>
      <c r="L35" s="19">
        <f>L34*24*360/(10^6)</f>
        <v>288.53694417599996</v>
      </c>
      <c r="M35" s="20">
        <f>M34*24*360/(10^6)</f>
        <v>288.5426037216</v>
      </c>
      <c r="N35" s="20">
        <f>N34*24*360/(10^6)</f>
        <v>286.50638105279995</v>
      </c>
      <c r="O35" s="20"/>
      <c r="P35" s="20"/>
      <c r="Q35" s="21"/>
    </row>
    <row r="36" spans="10:14" ht="15">
      <c r="J36" s="12">
        <v>0.2</v>
      </c>
      <c r="N36">
        <f>N35*1.2</f>
        <v>343.80765726335994</v>
      </c>
    </row>
    <row r="37" spans="10:14" ht="15">
      <c r="J37" s="12">
        <v>-0.2</v>
      </c>
      <c r="N37">
        <f>N35*0.8</f>
        <v>229.20510484223996</v>
      </c>
    </row>
  </sheetData>
  <sheetProtection/>
  <mergeCells count="8">
    <mergeCell ref="O1:O2"/>
    <mergeCell ref="P1:P2"/>
    <mergeCell ref="A2:F2"/>
    <mergeCell ref="A6:F6"/>
    <mergeCell ref="I1:I2"/>
    <mergeCell ref="J1:J2"/>
    <mergeCell ref="L1:L2"/>
    <mergeCell ref="N1:N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Eldar</dc:creator>
  <cp:keywords/>
  <dc:description/>
  <cp:lastModifiedBy>Feby</cp:lastModifiedBy>
  <dcterms:created xsi:type="dcterms:W3CDTF">2010-11-15T22:06:13Z</dcterms:created>
  <dcterms:modified xsi:type="dcterms:W3CDTF">2010-11-19T12:29:06Z</dcterms:modified>
  <cp:category/>
  <cp:version/>
  <cp:contentType/>
  <cp:contentStatus/>
</cp:coreProperties>
</file>