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8840" windowHeight="3345" tabRatio="201"/>
  </bookViews>
  <sheets>
    <sheet name="Sheet1" sheetId="2" r:id="rId1"/>
    <sheet name="Sheet2" sheetId="3" r:id="rId2"/>
    <sheet name="Sheet3" sheetId="4" r:id="rId3"/>
  </sheets>
  <calcPr calcId="144525"/>
</workbook>
</file>

<file path=xl/calcChain.xml><?xml version="1.0" encoding="utf-8"?>
<calcChain xmlns="http://schemas.openxmlformats.org/spreadsheetml/2006/main">
  <c r="C46" i="2" l="1"/>
  <c r="G46" i="2" s="1"/>
  <c r="H46" i="2" s="1"/>
  <c r="J46" i="2" s="1"/>
  <c r="M46" i="2" s="1"/>
  <c r="C45" i="2"/>
  <c r="G45" i="2" s="1"/>
  <c r="H45" i="2" s="1"/>
  <c r="J45" i="2" s="1"/>
  <c r="M45" i="2" s="1"/>
  <c r="F18" i="2"/>
  <c r="G18" i="2" s="1"/>
  <c r="K18" i="2" s="1"/>
  <c r="N18" i="2" s="1"/>
  <c r="O18" i="2" s="1"/>
  <c r="B105" i="2"/>
  <c r="F9" i="2"/>
  <c r="G9" i="2" s="1"/>
  <c r="L9" i="2" s="1"/>
  <c r="O9" i="2" s="1"/>
  <c r="B104" i="2"/>
  <c r="B96" i="2"/>
  <c r="C44" i="2"/>
  <c r="G44" i="2" s="1"/>
  <c r="H44" i="2" s="1"/>
  <c r="J44" i="2" s="1"/>
  <c r="M44" i="2" s="1"/>
  <c r="C43" i="2"/>
  <c r="G43" i="2" s="1"/>
  <c r="H43" i="2" s="1"/>
  <c r="J43" i="2" s="1"/>
  <c r="M43" i="2" s="1"/>
  <c r="C42" i="2"/>
  <c r="G42" i="2" s="1"/>
  <c r="H42" i="2" s="1"/>
  <c r="J42" i="2" s="1"/>
  <c r="M42" i="2" s="1"/>
  <c r="F17" i="2"/>
  <c r="G17" i="2" s="1"/>
  <c r="K17" i="2" s="1"/>
  <c r="N17" i="2" s="1"/>
  <c r="O17" i="2" s="1"/>
  <c r="F8" i="2"/>
  <c r="G8" i="2" s="1"/>
  <c r="L8" i="2" s="1"/>
  <c r="O8" i="2" s="1"/>
  <c r="P8" i="2" s="1"/>
  <c r="F16" i="2"/>
  <c r="G16" i="2" s="1"/>
  <c r="K16" i="2" s="1"/>
  <c r="N16" i="2" s="1"/>
  <c r="O16" i="2" s="1"/>
  <c r="F7" i="2"/>
  <c r="G7" i="2" s="1"/>
  <c r="L7" i="2" s="1"/>
  <c r="O7" i="2" s="1"/>
  <c r="P7" i="2" s="1"/>
  <c r="B6" i="2"/>
  <c r="B5" i="2"/>
  <c r="B4" i="2"/>
  <c r="B3" i="2"/>
  <c r="F3" i="2" s="1"/>
  <c r="G3" i="2" s="1"/>
  <c r="C41" i="2"/>
  <c r="G41" i="2" s="1"/>
  <c r="H41" i="2" s="1"/>
  <c r="J41" i="2" s="1"/>
  <c r="M41" i="2" s="1"/>
  <c r="C40" i="2"/>
  <c r="G40" i="2" s="1"/>
  <c r="H40" i="2" s="1"/>
  <c r="J40" i="2" s="1"/>
  <c r="M40" i="2" s="1"/>
  <c r="C39" i="2"/>
  <c r="G39" i="2" s="1"/>
  <c r="H39" i="2" s="1"/>
  <c r="J39" i="2" s="1"/>
  <c r="M39" i="2" s="1"/>
  <c r="C38" i="2"/>
  <c r="G38" i="2" s="1"/>
  <c r="H38" i="2" s="1"/>
  <c r="J38" i="2" s="1"/>
  <c r="M38" i="2" s="1"/>
  <c r="I54" i="2"/>
  <c r="B80" i="2" s="1"/>
  <c r="C37" i="2"/>
  <c r="G37" i="2" s="1"/>
  <c r="H37" i="2" s="1"/>
  <c r="J37" i="2" s="1"/>
  <c r="M37" i="2" s="1"/>
  <c r="C35" i="2"/>
  <c r="I55" i="2"/>
  <c r="I56" i="2"/>
  <c r="E56" i="2"/>
  <c r="E55" i="2"/>
  <c r="B54" i="2"/>
  <c r="E54" i="2" s="1"/>
  <c r="M50" i="2"/>
  <c r="N50" i="2" s="1"/>
  <c r="G50" i="2"/>
  <c r="H50" i="2" s="1"/>
  <c r="G35" i="2"/>
  <c r="H35" i="2" s="1"/>
  <c r="J35" i="2" s="1"/>
  <c r="M35" i="2" s="1"/>
  <c r="C32" i="2"/>
  <c r="G32" i="2" s="1"/>
  <c r="H32" i="2" s="1"/>
  <c r="J32" i="2" s="1"/>
  <c r="M32" i="2" s="1"/>
  <c r="C33" i="2"/>
  <c r="G33" i="2" s="1"/>
  <c r="H33" i="2" s="1"/>
  <c r="J33" i="2" s="1"/>
  <c r="M33" i="2" s="1"/>
  <c r="C34" i="2"/>
  <c r="G34" i="2" s="1"/>
  <c r="H34" i="2" s="1"/>
  <c r="J34" i="2" s="1"/>
  <c r="M34" i="2" s="1"/>
  <c r="C36" i="2"/>
  <c r="G36" i="2" s="1"/>
  <c r="H36" i="2" s="1"/>
  <c r="J36" i="2" s="1"/>
  <c r="M36" i="2" s="1"/>
  <c r="C31" i="2"/>
  <c r="G31" i="2" s="1"/>
  <c r="H31" i="2" s="1"/>
  <c r="J31" i="2" s="1"/>
  <c r="M31" i="2" s="1"/>
  <c r="B108" i="2" s="1"/>
  <c r="L25" i="2"/>
  <c r="M25" i="2" s="1"/>
  <c r="L26" i="2"/>
  <c r="M26" i="2" s="1"/>
  <c r="L27" i="2"/>
  <c r="M27" i="2" s="1"/>
  <c r="F25" i="2"/>
  <c r="G25" i="2" s="1"/>
  <c r="F26" i="2"/>
  <c r="G26" i="2" s="1"/>
  <c r="F27" i="2"/>
  <c r="G27" i="2" s="1"/>
  <c r="L24" i="2"/>
  <c r="M24" i="2" s="1"/>
  <c r="F24" i="2"/>
  <c r="G24" i="2" s="1"/>
  <c r="L23" i="2"/>
  <c r="M23" i="2" s="1"/>
  <c r="F23" i="2"/>
  <c r="G23" i="2" s="1"/>
  <c r="L22" i="2"/>
  <c r="M22" i="2" s="1"/>
  <c r="F22" i="2"/>
  <c r="G22" i="2" s="1"/>
  <c r="L21" i="2"/>
  <c r="M21" i="2" s="1"/>
  <c r="F15" i="2"/>
  <c r="G15" i="2" s="1"/>
  <c r="K15" i="2" s="1"/>
  <c r="N15" i="2" s="1"/>
  <c r="F14" i="2"/>
  <c r="G14" i="2" s="1"/>
  <c r="K14" i="2" s="1"/>
  <c r="N14" i="2" s="1"/>
  <c r="F13" i="2"/>
  <c r="G13" i="2" s="1"/>
  <c r="K13" i="2" s="1"/>
  <c r="N13" i="2" s="1"/>
  <c r="F12" i="2"/>
  <c r="G12" i="2" s="1"/>
  <c r="K12" i="2" s="1"/>
  <c r="N12" i="2" s="1"/>
  <c r="F6" i="2"/>
  <c r="G6" i="2" s="1"/>
  <c r="J5" i="2"/>
  <c r="F5" i="2"/>
  <c r="G5" i="2" s="1"/>
  <c r="J4" i="2"/>
  <c r="F4" i="2"/>
  <c r="G4" i="2" s="1"/>
  <c r="J3" i="2"/>
  <c r="F21" i="2"/>
  <c r="G21" i="2" s="1"/>
  <c r="P9" i="2" l="1"/>
  <c r="B106" i="2" s="1"/>
  <c r="B109" i="2" s="1"/>
  <c r="H112" i="2" s="1"/>
  <c r="B107" i="2"/>
  <c r="B99" i="2"/>
  <c r="B100" i="2"/>
  <c r="B92" i="2"/>
  <c r="B84" i="2"/>
  <c r="B83" i="2"/>
  <c r="B91" i="2"/>
  <c r="B88" i="2"/>
  <c r="R50" i="2"/>
  <c r="B62" i="2"/>
  <c r="B71" i="2"/>
  <c r="B75" i="2"/>
  <c r="B66" i="2"/>
  <c r="Q26" i="2"/>
  <c r="T26" i="2" s="1"/>
  <c r="B74" i="2"/>
  <c r="B65" i="2"/>
  <c r="Q24" i="2"/>
  <c r="T24" i="2" s="1"/>
  <c r="Q23" i="2"/>
  <c r="T23" i="2" s="1"/>
  <c r="Q22" i="2"/>
  <c r="T22" i="2" s="1"/>
  <c r="Q27" i="2"/>
  <c r="T27" i="2" s="1"/>
  <c r="Q25" i="2"/>
  <c r="T25" i="2" s="1"/>
  <c r="Q21" i="2"/>
  <c r="T21" i="2" s="1"/>
  <c r="L5" i="2"/>
  <c r="O5" i="2" s="1"/>
  <c r="L6" i="2"/>
  <c r="O6" i="2" s="1"/>
  <c r="L4" i="2"/>
  <c r="O4" i="2" s="1"/>
  <c r="L3" i="2"/>
  <c r="O3" i="2" s="1"/>
  <c r="B98" i="2" l="1"/>
  <c r="B90" i="2"/>
  <c r="H125" i="2"/>
  <c r="H123" i="2"/>
  <c r="H114" i="2"/>
  <c r="H116" i="2" s="1"/>
  <c r="H118" i="2" s="1"/>
  <c r="H126" i="2"/>
  <c r="H124" i="2"/>
  <c r="H122" i="2"/>
  <c r="H113" i="2"/>
  <c r="H115" i="2" s="1"/>
  <c r="H117" i="2" s="1"/>
  <c r="H119" i="2" s="1"/>
  <c r="B97" i="2"/>
  <c r="B81" i="2"/>
  <c r="B89" i="2"/>
  <c r="B64" i="2"/>
  <c r="B72" i="2"/>
  <c r="B63" i="2"/>
  <c r="B82" i="2"/>
  <c r="B73" i="2"/>
  <c r="B101" i="2" l="1"/>
  <c r="G112" i="2" s="1"/>
  <c r="G123" i="2" s="1"/>
  <c r="H127" i="2"/>
  <c r="G125" i="2"/>
  <c r="G114" i="2"/>
  <c r="G116" i="2" s="1"/>
  <c r="G118" i="2" s="1"/>
  <c r="G126" i="2"/>
  <c r="G122" i="2"/>
  <c r="B93" i="2"/>
  <c r="F112" i="2" s="1"/>
  <c r="B67" i="2"/>
  <c r="C112" i="2" s="1"/>
  <c r="B85" i="2"/>
  <c r="E112" i="2" s="1"/>
  <c r="B76" i="2"/>
  <c r="D112" i="2" s="1"/>
  <c r="D113" i="2" l="1"/>
  <c r="D115" i="2"/>
  <c r="D117" i="2"/>
  <c r="D119" i="2"/>
  <c r="D123" i="2"/>
  <c r="D125" i="2"/>
  <c r="D114" i="2"/>
  <c r="D116" i="2"/>
  <c r="D118" i="2"/>
  <c r="D122" i="2"/>
  <c r="D124" i="2"/>
  <c r="D126" i="2"/>
  <c r="D127" i="2"/>
  <c r="D128" i="2" s="1"/>
  <c r="D130" i="2" s="1"/>
  <c r="C114" i="2"/>
  <c r="C116" i="2"/>
  <c r="C118" i="2"/>
  <c r="C122" i="2"/>
  <c r="C124" i="2"/>
  <c r="C126" i="2"/>
  <c r="C113" i="2"/>
  <c r="C115" i="2"/>
  <c r="C117" i="2"/>
  <c r="C119" i="2"/>
  <c r="C123" i="2"/>
  <c r="C125" i="2"/>
  <c r="E114" i="2"/>
  <c r="E116" i="2"/>
  <c r="E118" i="2"/>
  <c r="E122" i="2"/>
  <c r="E124" i="2"/>
  <c r="E126" i="2"/>
  <c r="E113" i="2"/>
  <c r="E115" i="2"/>
  <c r="E117" i="2"/>
  <c r="E127" i="2" s="1"/>
  <c r="E128" i="2" s="1"/>
  <c r="E130" i="2" s="1"/>
  <c r="E119" i="2"/>
  <c r="E123" i="2"/>
  <c r="E125" i="2"/>
  <c r="G124" i="2"/>
  <c r="G113" i="2"/>
  <c r="G115" i="2" s="1"/>
  <c r="G117" i="2" s="1"/>
  <c r="G119" i="2" s="1"/>
  <c r="H128" i="2"/>
  <c r="H130" i="2" s="1"/>
  <c r="F126" i="2"/>
  <c r="F124" i="2"/>
  <c r="F122" i="2"/>
  <c r="F119" i="2"/>
  <c r="F117" i="2"/>
  <c r="F115" i="2"/>
  <c r="F113" i="2"/>
  <c r="F125" i="2"/>
  <c r="F123" i="2"/>
  <c r="F118" i="2"/>
  <c r="F116" i="2"/>
  <c r="F114" i="2"/>
  <c r="C127" i="2" l="1"/>
  <c r="C128" i="2" s="1"/>
  <c r="C130" i="2" s="1"/>
  <c r="G127" i="2"/>
  <c r="G128" i="2" s="1"/>
  <c r="G130" i="2" s="1"/>
  <c r="F127" i="2"/>
  <c r="F128" i="2" s="1"/>
  <c r="F130" i="2" s="1"/>
</calcChain>
</file>

<file path=xl/sharedStrings.xml><?xml version="1.0" encoding="utf-8"?>
<sst xmlns="http://schemas.openxmlformats.org/spreadsheetml/2006/main" count="172" uniqueCount="139">
  <si>
    <t>Towers</t>
    <phoneticPr fontId="1" type="noConversion"/>
  </si>
  <si>
    <t>V[M3]</t>
    <phoneticPr fontId="1" type="noConversion"/>
  </si>
  <si>
    <t>K1</t>
    <phoneticPr fontId="1" type="noConversion"/>
  </si>
  <si>
    <t>K2</t>
    <phoneticPr fontId="1" type="noConversion"/>
  </si>
  <si>
    <t>K3</t>
    <phoneticPr fontId="1" type="noConversion"/>
  </si>
  <si>
    <t>logCP,0</t>
    <phoneticPr fontId="1" type="noConversion"/>
  </si>
  <si>
    <t>CP,0</t>
    <phoneticPr fontId="1" type="noConversion"/>
  </si>
  <si>
    <t>D[M]</t>
    <phoneticPr fontId="1" type="noConversion"/>
  </si>
  <si>
    <t>P[barg]</t>
    <phoneticPr fontId="1" type="noConversion"/>
  </si>
  <si>
    <t>Fp</t>
    <phoneticPr fontId="1" type="noConversion"/>
  </si>
  <si>
    <t>Fm</t>
    <phoneticPr fontId="1" type="noConversion"/>
  </si>
  <si>
    <t>Cbm</t>
    <phoneticPr fontId="1" type="noConversion"/>
  </si>
  <si>
    <t>Towers trays</t>
    <phoneticPr fontId="1" type="noConversion"/>
  </si>
  <si>
    <t>Area[m2]</t>
    <phoneticPr fontId="1" type="noConversion"/>
  </si>
  <si>
    <t>TRAY</t>
    <phoneticPr fontId="1" type="noConversion"/>
  </si>
  <si>
    <t>Fq</t>
    <phoneticPr fontId="1" type="noConversion"/>
  </si>
  <si>
    <t>condenser,reboiler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</si>
  <si>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</si>
  <si>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</si>
  <si>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</si>
  <si>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P</t>
    <phoneticPr fontId="1" type="noConversion"/>
  </si>
  <si>
    <t>LOGFp</t>
    <phoneticPr fontId="1" type="noConversion"/>
  </si>
  <si>
    <t>Fp</t>
    <phoneticPr fontId="1" type="noConversion"/>
  </si>
  <si>
    <t>Fm</t>
    <phoneticPr fontId="1" type="noConversion"/>
  </si>
  <si>
    <t>B1</t>
    <phoneticPr fontId="1" type="noConversion"/>
  </si>
  <si>
    <t>B2</t>
    <phoneticPr fontId="1" type="noConversion"/>
  </si>
  <si>
    <t>Cbm</t>
    <phoneticPr fontId="1" type="noConversion"/>
  </si>
  <si>
    <t>Deethanizer</t>
    <phoneticPr fontId="1" type="noConversion"/>
  </si>
  <si>
    <t>Debutanizer</t>
    <phoneticPr fontId="1" type="noConversion"/>
  </si>
  <si>
    <t>Propane column</t>
    <phoneticPr fontId="1" type="noConversion"/>
  </si>
  <si>
    <t>Butane column</t>
    <phoneticPr fontId="1" type="noConversion"/>
  </si>
  <si>
    <t>Reboiler-Deethanizer</t>
    <phoneticPr fontId="1" type="noConversion"/>
  </si>
  <si>
    <t>Reboiler-Debutanizer</t>
    <phoneticPr fontId="1" type="noConversion"/>
  </si>
  <si>
    <t>Reboiler-Propane column</t>
    <phoneticPr fontId="1" type="noConversion"/>
  </si>
  <si>
    <t>Reboiler-Butane column</t>
    <phoneticPr fontId="1" type="noConversion"/>
  </si>
  <si>
    <t>Condenser-Debutanizer</t>
    <phoneticPr fontId="1" type="noConversion"/>
  </si>
  <si>
    <t>Condenser-Propane column</t>
    <phoneticPr fontId="1" type="noConversion"/>
  </si>
  <si>
    <t>Condenser-Butane column</t>
    <phoneticPr fontId="1" type="noConversion"/>
  </si>
  <si>
    <t>Tanks</t>
    <phoneticPr fontId="1" type="noConversion"/>
  </si>
  <si>
    <t>feed tank</t>
    <phoneticPr fontId="1" type="noConversion"/>
  </si>
  <si>
    <t>c1c2</t>
    <phoneticPr fontId="1" type="noConversion"/>
  </si>
  <si>
    <t>c5+</t>
    <phoneticPr fontId="1" type="noConversion"/>
  </si>
  <si>
    <t>c3</t>
    <phoneticPr fontId="1" type="noConversion"/>
  </si>
  <si>
    <t>ic4</t>
    <phoneticPr fontId="1" type="noConversion"/>
  </si>
  <si>
    <t>nc4</t>
    <phoneticPr fontId="1" type="noConversion"/>
  </si>
  <si>
    <t>flow</t>
    <phoneticPr fontId="1" type="noConversion"/>
  </si>
  <si>
    <t>v</t>
    <phoneticPr fontId="1" type="noConversion"/>
  </si>
  <si>
    <t>k1</t>
    <phoneticPr fontId="1" type="noConversion"/>
  </si>
  <si>
    <t>k2</t>
    <phoneticPr fontId="1" type="noConversion"/>
  </si>
  <si>
    <t>k3</t>
    <phoneticPr fontId="1" type="noConversion"/>
  </si>
  <si>
    <t>fm</t>
    <phoneticPr fontId="1" type="noConversion"/>
  </si>
  <si>
    <t>cbm</t>
    <phoneticPr fontId="1" type="noConversion"/>
  </si>
  <si>
    <t>K1</t>
    <phoneticPr fontId="1" type="noConversion"/>
  </si>
  <si>
    <t>K2</t>
    <phoneticPr fontId="1" type="noConversion"/>
  </si>
  <si>
    <t>K3</t>
    <phoneticPr fontId="1" type="noConversion"/>
  </si>
  <si>
    <t>Q[KW]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</si>
  <si>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</si>
  <si>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</si>
  <si>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</si>
  <si>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P</t>
    <phoneticPr fontId="1" type="noConversion"/>
  </si>
  <si>
    <t>pressure drop</t>
    <phoneticPr fontId="1" type="noConversion"/>
  </si>
  <si>
    <t>b1</t>
    <phoneticPr fontId="1" type="noConversion"/>
  </si>
  <si>
    <t>b2</t>
    <phoneticPr fontId="1" type="noConversion"/>
  </si>
  <si>
    <t>Condenser- for debutanizer</t>
    <phoneticPr fontId="1" type="noConversion"/>
  </si>
  <si>
    <t>Pressure drop</t>
    <phoneticPr fontId="1" type="noConversion"/>
  </si>
  <si>
    <t>G</t>
    <phoneticPr fontId="1" type="noConversion"/>
  </si>
  <si>
    <t>Ps</t>
    <phoneticPr fontId="1" type="noConversion"/>
  </si>
  <si>
    <t>Cbm</t>
    <phoneticPr fontId="1" type="noConversion"/>
  </si>
  <si>
    <t>Condenser- for propane column</t>
    <phoneticPr fontId="1" type="noConversion"/>
  </si>
  <si>
    <t>Condenser- for butane column</t>
    <phoneticPr fontId="1" type="noConversion"/>
  </si>
  <si>
    <t>Case1</t>
    <phoneticPr fontId="1" type="noConversion"/>
  </si>
  <si>
    <t>Pump(3)</t>
    <phoneticPr fontId="1" type="noConversion"/>
  </si>
  <si>
    <t>Heat exchangers(7)</t>
    <phoneticPr fontId="1" type="noConversion"/>
  </si>
  <si>
    <t>Towers(4)</t>
    <phoneticPr fontId="1" type="noConversion"/>
  </si>
  <si>
    <t>trays(109)</t>
    <phoneticPr fontId="1" type="noConversion"/>
  </si>
  <si>
    <t>major equipment cost</t>
    <phoneticPr fontId="1" type="noConversion"/>
  </si>
  <si>
    <t>Case 2</t>
  </si>
  <si>
    <t>Pump(2)</t>
  </si>
  <si>
    <t>Heat Exchangers(5)</t>
  </si>
  <si>
    <t>Towers(3)</t>
  </si>
  <si>
    <t>Trays(79)</t>
  </si>
  <si>
    <t>Ic4+Nc4</t>
  </si>
  <si>
    <t>major equipment cost</t>
  </si>
  <si>
    <t>Case 3</t>
  </si>
  <si>
    <t>Pump(1)</t>
  </si>
  <si>
    <t>Towers(2)</t>
  </si>
  <si>
    <t>Trays(55)</t>
  </si>
  <si>
    <t>C3-iC4-nC4</t>
  </si>
  <si>
    <t>Tanks(4)</t>
  </si>
  <si>
    <t>Heat Exchangers(3)</t>
  </si>
  <si>
    <t>Petlyuk C3(case4)</t>
  </si>
  <si>
    <t>PetlyukiC4(case4)</t>
  </si>
  <si>
    <t>Petlyuk nC4(case4)</t>
  </si>
  <si>
    <t>Purchased equipment</t>
  </si>
  <si>
    <t>Purchased equipment installation</t>
  </si>
  <si>
    <t>Instrumentation and controls (installed)</t>
  </si>
  <si>
    <t>Piping (installed)</t>
  </si>
  <si>
    <t>Electrical systems (installed)</t>
  </si>
  <si>
    <t>Buildings (inclduing servics)</t>
  </si>
  <si>
    <t>Yard improvements</t>
  </si>
  <si>
    <t>Services facilities (installed)</t>
  </si>
  <si>
    <t>Indirect costs</t>
  </si>
  <si>
    <t>Engineering and supervision</t>
  </si>
  <si>
    <t>Construction expenses</t>
  </si>
  <si>
    <t>Legal expenses</t>
  </si>
  <si>
    <t>Contractor's fee</t>
  </si>
  <si>
    <t>Contingency</t>
  </si>
  <si>
    <t>tanks(5)</t>
  </si>
  <si>
    <t>Tanks(3)</t>
  </si>
  <si>
    <t>3% of FCC</t>
  </si>
  <si>
    <t>Fixed Capital cost(FCC)</t>
  </si>
  <si>
    <t>Working Capital Cost(WCC)</t>
  </si>
  <si>
    <t>Total Investment</t>
  </si>
  <si>
    <t>FCC+WCC</t>
  </si>
  <si>
    <t>Petlyuk Column_1</t>
  </si>
  <si>
    <t>Case 4</t>
  </si>
  <si>
    <t>Heat Exchangers(3+2)</t>
  </si>
  <si>
    <t>Pump(1+1)</t>
  </si>
  <si>
    <t>Towers(2+1)</t>
  </si>
  <si>
    <t>Trays(55+84)</t>
  </si>
  <si>
    <t>Tanks(2+3)</t>
  </si>
  <si>
    <t>Major Equipment cost</t>
  </si>
  <si>
    <t>Case 5</t>
  </si>
  <si>
    <t>Case 6</t>
  </si>
  <si>
    <t>Pumps</t>
  </si>
  <si>
    <t>Heat Exchangers(1+2)</t>
  </si>
  <si>
    <t>Towers(1+1)</t>
  </si>
  <si>
    <t>Petlyuk Column_2</t>
  </si>
  <si>
    <t>Trays(30+92)</t>
  </si>
  <si>
    <t>Petlyuk_2C3(case5)</t>
  </si>
  <si>
    <t>Petlyuk iC4nC4(case5)</t>
  </si>
  <si>
    <t>PetlyukC5+(case5)</t>
  </si>
  <si>
    <t>Tanks(1+3)</t>
  </si>
  <si>
    <t>Heat Exchangers(2)</t>
  </si>
  <si>
    <t>Towers(1)</t>
  </si>
  <si>
    <t>Trays(28)</t>
  </si>
  <si>
    <t>Petlyuk Column_3</t>
  </si>
  <si>
    <t>Petlyuk_3C3iC4nC4(case 6)</t>
  </si>
  <si>
    <t>Petlyuk_C5+(case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</si>
</sst>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11"/>
      <color rgb="FFFF0000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1" fontId="0" fillId="0" borderId="0" xfId="0" applyNumberFormat="1">
      <alignment vertical="center"/>
    </xf>
    <xf numFmtId="0" fontId="0" fillId="2" borderId="0" xfId="0" applyFill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abSelected="1" zoomScale="85" zoomScaleNormal="85" workbookViewId="0">
      <selection activeCell="H19" sqref="H19"/>
    </sheetView>
  </sheetViews>
  <sheetFormatPr defaultRowHeight="15"/>
  <cols>
    <col min="1" max="1" width="39" bestFit="1" customWidth="1"/>
    <col min="2" max="2" width="34" customWidth="1"/>
    <col min="3" max="4" width="10.28515625" bestFit="1" customWidth="1"/>
    <col min="5" max="5" width="9.42578125" bestFit="1" customWidth="1"/>
    <col min="6" max="7" width="12.7109375" bestFit="1" customWidth="1"/>
    <col min="8" max="9" width="9.42578125" bestFit="1" customWidth="1"/>
    <col min="10" max="11" width="12.7109375" bestFit="1" customWidth="1"/>
    <col min="12" max="12" width="13.85546875" bestFit="1" customWidth="1"/>
  </cols>
  <sheetData>
    <row r="2" spans="1:16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6">
      <c r="A3" t="s">
        <v>27</v>
      </c>
      <c r="B3">
        <f>36.18*1.2</f>
        <v>43.415999999999997</v>
      </c>
      <c r="C3">
        <v>3.4973999999999998</v>
      </c>
      <c r="D3">
        <v>0.44850000000000001</v>
      </c>
      <c r="E3">
        <v>0.1074</v>
      </c>
      <c r="F3">
        <f t="shared" ref="F3:F9" si="0">C3+D3*(LOG(B3))+E3*((LOG(B3)^2))</f>
        <v>4.5199216657224861</v>
      </c>
      <c r="G3">
        <f t="shared" ref="G3:G9" si="1">10^F3</f>
        <v>33107.140030475828</v>
      </c>
      <c r="H3">
        <v>1.6</v>
      </c>
      <c r="I3">
        <v>20.99</v>
      </c>
      <c r="J3">
        <f>((((I3+1)*H3)/(2*(850-0.6*(I3+1))))+0.00315)/0.0063</f>
        <v>3.8369513989872828</v>
      </c>
      <c r="K3">
        <v>1</v>
      </c>
      <c r="L3">
        <f t="shared" ref="L3:L9" si="2">G3*J3*K3</f>
        <v>127030.48725640211</v>
      </c>
      <c r="M3">
        <v>397</v>
      </c>
      <c r="N3">
        <v>574</v>
      </c>
      <c r="O3">
        <f>(N3/M3)*L3</f>
        <v>183666.24605837482</v>
      </c>
    </row>
    <row r="4" spans="1:16">
      <c r="A4" t="s">
        <v>28</v>
      </c>
      <c r="B4">
        <f>43.41*1.2</f>
        <v>52.091999999999992</v>
      </c>
      <c r="C4">
        <v>3.4973999999999998</v>
      </c>
      <c r="D4">
        <v>0.44850000000000001</v>
      </c>
      <c r="E4">
        <v>0.1074</v>
      </c>
      <c r="F4">
        <f t="shared" si="0"/>
        <v>4.5839121259352575</v>
      </c>
      <c r="G4">
        <f t="shared" si="1"/>
        <v>38362.961497711534</v>
      </c>
      <c r="H4">
        <v>1.4</v>
      </c>
      <c r="I4">
        <v>15.49</v>
      </c>
      <c r="J4">
        <f>((((I4+1)*H4)/(2*(850-0.6*(I4+1))))+0.00315)/0.0063</f>
        <v>2.6809417171431011</v>
      </c>
      <c r="K4">
        <v>1</v>
      </c>
      <c r="L4">
        <f t="shared" si="2"/>
        <v>102848.86387236943</v>
      </c>
      <c r="M4">
        <v>397</v>
      </c>
      <c r="N4">
        <v>574</v>
      </c>
      <c r="O4">
        <f t="shared" ref="O4:O9" si="3">(N4/M4)*L4</f>
        <v>148703.39512025201</v>
      </c>
    </row>
    <row r="5" spans="1:16">
      <c r="A5" t="s">
        <v>29</v>
      </c>
      <c r="B5">
        <f>13.35*1.2</f>
        <v>16.02</v>
      </c>
      <c r="C5">
        <v>3.4973999999999998</v>
      </c>
      <c r="D5">
        <v>0.44850000000000001</v>
      </c>
      <c r="E5">
        <v>0.1074</v>
      </c>
      <c r="F5">
        <f t="shared" si="0"/>
        <v>4.1935512803175934</v>
      </c>
      <c r="G5">
        <f t="shared" si="1"/>
        <v>15615.334087251644</v>
      </c>
      <c r="H5">
        <v>1</v>
      </c>
      <c r="I5">
        <v>8.49</v>
      </c>
      <c r="J5">
        <f>((((I5+1)*H5)/(2*(850-0.6*(I5+1))))+0.00315)/0.0063</f>
        <v>1.3920635447037013</v>
      </c>
      <c r="K5">
        <v>1</v>
      </c>
      <c r="L5">
        <f t="shared" si="2"/>
        <v>21737.537321232059</v>
      </c>
      <c r="M5">
        <v>397</v>
      </c>
      <c r="N5">
        <v>574</v>
      </c>
      <c r="O5">
        <f t="shared" si="3"/>
        <v>31429.084187373304</v>
      </c>
    </row>
    <row r="6" spans="1:16">
      <c r="A6" t="s">
        <v>30</v>
      </c>
      <c r="B6">
        <f>1.2*49.475</f>
        <v>59.37</v>
      </c>
      <c r="C6">
        <v>3.4973999999999998</v>
      </c>
      <c r="D6">
        <v>0.44850000000000001</v>
      </c>
      <c r="E6">
        <v>0.1074</v>
      </c>
      <c r="F6">
        <f t="shared" si="0"/>
        <v>4.6306758257170344</v>
      </c>
      <c r="G6">
        <f t="shared" si="1"/>
        <v>42724.385567654419</v>
      </c>
      <c r="H6">
        <v>1</v>
      </c>
      <c r="I6">
        <v>3.49</v>
      </c>
      <c r="J6">
        <v>1</v>
      </c>
      <c r="K6">
        <v>1</v>
      </c>
      <c r="L6">
        <f t="shared" si="2"/>
        <v>42724.385567654419</v>
      </c>
      <c r="M6">
        <v>397</v>
      </c>
      <c r="N6">
        <v>574</v>
      </c>
      <c r="O6">
        <f t="shared" si="3"/>
        <v>61772.789208648959</v>
      </c>
    </row>
    <row r="7" spans="1:16">
      <c r="A7" t="s">
        <v>114</v>
      </c>
      <c r="B7">
        <v>68.401269999999997</v>
      </c>
      <c r="C7">
        <v>3.4973999999999998</v>
      </c>
      <c r="D7">
        <v>0.44850000000000001</v>
      </c>
      <c r="E7">
        <v>0.1074</v>
      </c>
      <c r="F7">
        <f t="shared" si="0"/>
        <v>4.6820915348456467</v>
      </c>
      <c r="G7">
        <f t="shared" si="1"/>
        <v>48094.070408743319</v>
      </c>
      <c r="H7">
        <v>1</v>
      </c>
      <c r="I7">
        <v>5.0999999999999996</v>
      </c>
      <c r="J7">
        <v>1.08</v>
      </c>
      <c r="K7">
        <v>1</v>
      </c>
      <c r="L7">
        <f t="shared" si="2"/>
        <v>51941.59604144279</v>
      </c>
      <c r="M7">
        <v>397</v>
      </c>
      <c r="N7">
        <v>574</v>
      </c>
      <c r="O7">
        <f t="shared" si="3"/>
        <v>75099.436090146497</v>
      </c>
      <c r="P7">
        <f>O7*1.6</f>
        <v>120159.0977442344</v>
      </c>
    </row>
    <row r="8" spans="1:16">
      <c r="A8" t="s">
        <v>127</v>
      </c>
      <c r="B8">
        <v>74.915679999999995</v>
      </c>
      <c r="C8">
        <v>3.4973999999999998</v>
      </c>
      <c r="D8">
        <v>0.44850000000000001</v>
      </c>
      <c r="E8">
        <v>0.1074</v>
      </c>
      <c r="F8">
        <f t="shared" si="0"/>
        <v>4.7155519275360307</v>
      </c>
      <c r="G8">
        <f t="shared" si="1"/>
        <v>51945.978033779793</v>
      </c>
      <c r="H8">
        <v>1</v>
      </c>
      <c r="I8">
        <v>3.49</v>
      </c>
      <c r="J8">
        <v>1</v>
      </c>
      <c r="K8">
        <v>1</v>
      </c>
      <c r="L8">
        <f t="shared" si="2"/>
        <v>51945.978033779793</v>
      </c>
      <c r="M8">
        <v>397</v>
      </c>
      <c r="N8">
        <v>574</v>
      </c>
      <c r="O8">
        <f t="shared" si="3"/>
        <v>75105.771766724429</v>
      </c>
      <c r="P8">
        <f>O8*1.6</f>
        <v>120169.23482675909</v>
      </c>
    </row>
    <row r="9" spans="1:16">
      <c r="A9" t="s">
        <v>136</v>
      </c>
      <c r="B9">
        <v>12.825240000000001</v>
      </c>
      <c r="C9">
        <v>3.4973999999999998</v>
      </c>
      <c r="D9">
        <v>0.44850000000000001</v>
      </c>
      <c r="E9">
        <v>0.1074</v>
      </c>
      <c r="F9">
        <f t="shared" si="0"/>
        <v>4.126234080293635</v>
      </c>
      <c r="G9">
        <f t="shared" si="1"/>
        <v>13373.161220715534</v>
      </c>
      <c r="H9">
        <v>1</v>
      </c>
      <c r="I9">
        <v>18.239999999999998</v>
      </c>
      <c r="J9">
        <v>3.2589465558000001</v>
      </c>
      <c r="K9">
        <v>1</v>
      </c>
      <c r="L9">
        <f t="shared" si="2"/>
        <v>43582.417700409016</v>
      </c>
      <c r="M9">
        <v>397</v>
      </c>
      <c r="N9">
        <v>574</v>
      </c>
      <c r="O9">
        <f t="shared" si="3"/>
        <v>63013.369672631678</v>
      </c>
      <c r="P9">
        <f>O9*1.6</f>
        <v>100821.39147621069</v>
      </c>
    </row>
    <row r="11" spans="1:16">
      <c r="A11" t="s">
        <v>12</v>
      </c>
      <c r="B11" t="s">
        <v>13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14</v>
      </c>
      <c r="I11" t="s">
        <v>15</v>
      </c>
      <c r="J11" t="s">
        <v>10</v>
      </c>
      <c r="K11" t="s">
        <v>11</v>
      </c>
    </row>
    <row r="12" spans="1:16">
      <c r="A12" t="s">
        <v>27</v>
      </c>
      <c r="B12">
        <v>2.0099999999999998</v>
      </c>
      <c r="C12" s="1">
        <v>3.3321999999999998</v>
      </c>
      <c r="D12" s="1">
        <v>0.48380000000000001</v>
      </c>
      <c r="E12" s="1">
        <v>0.34339999999999998</v>
      </c>
      <c r="F12">
        <f t="shared" ref="F12:F18" si="4">C12+D12*(LOG(B12))+E12*((LOG(B12)^2))</f>
        <v>3.5104542760074438</v>
      </c>
      <c r="G12">
        <f t="shared" ref="G12:G18" si="5">10^F12</f>
        <v>3239.3231594915587</v>
      </c>
      <c r="H12" s="1">
        <v>30</v>
      </c>
      <c r="I12" s="1">
        <v>1</v>
      </c>
      <c r="J12" s="1">
        <v>1</v>
      </c>
      <c r="K12">
        <f t="shared" ref="K12:K18" si="6">G12*H12*I12*J12</f>
        <v>97179.694784746767</v>
      </c>
      <c r="L12">
        <v>397</v>
      </c>
      <c r="M12">
        <v>574</v>
      </c>
      <c r="N12">
        <f>(M12/L12)*K12</f>
        <v>140506.66198096887</v>
      </c>
    </row>
    <row r="13" spans="1:16">
      <c r="A13" t="s">
        <v>28</v>
      </c>
      <c r="B13">
        <v>1.54</v>
      </c>
      <c r="C13" s="1">
        <v>3.3321999999999998</v>
      </c>
      <c r="D13" s="1">
        <v>0.48380000000000001</v>
      </c>
      <c r="E13" s="1">
        <v>0.34339999999999998</v>
      </c>
      <c r="F13">
        <f t="shared" si="4"/>
        <v>3.4349978494638358</v>
      </c>
      <c r="G13">
        <f t="shared" si="5"/>
        <v>2722.687825859341</v>
      </c>
      <c r="H13" s="1">
        <v>47</v>
      </c>
      <c r="I13" s="1">
        <v>1</v>
      </c>
      <c r="J13" s="1">
        <v>1</v>
      </c>
      <c r="K13">
        <f t="shared" si="6"/>
        <v>127966.32781538903</v>
      </c>
      <c r="L13">
        <v>397</v>
      </c>
      <c r="M13">
        <v>574</v>
      </c>
      <c r="N13">
        <f t="shared" ref="N13:N18" si="7">(M13/L13)*K13</f>
        <v>185019.32535524759</v>
      </c>
    </row>
    <row r="14" spans="1:16">
      <c r="A14" t="s">
        <v>29</v>
      </c>
      <c r="B14">
        <v>0.78400000000000003</v>
      </c>
      <c r="C14" s="1">
        <v>3.3321999999999998</v>
      </c>
      <c r="D14" s="1">
        <v>0.48380000000000001</v>
      </c>
      <c r="E14" s="1">
        <v>0.34339999999999998</v>
      </c>
      <c r="F14">
        <f t="shared" si="4"/>
        <v>3.2849055782146097</v>
      </c>
      <c r="G14">
        <f t="shared" si="5"/>
        <v>1927.1058874653638</v>
      </c>
      <c r="H14" s="1">
        <v>34</v>
      </c>
      <c r="I14" s="1">
        <v>1</v>
      </c>
      <c r="J14" s="1">
        <v>1</v>
      </c>
      <c r="K14">
        <f t="shared" si="6"/>
        <v>65521.600173822371</v>
      </c>
      <c r="L14">
        <v>397</v>
      </c>
      <c r="M14">
        <v>574</v>
      </c>
      <c r="N14">
        <f t="shared" si="7"/>
        <v>94734.001258876669</v>
      </c>
    </row>
    <row r="15" spans="1:16">
      <c r="A15" t="s">
        <v>30</v>
      </c>
      <c r="B15">
        <v>2.3559999999999999</v>
      </c>
      <c r="C15" s="1">
        <v>3.3321999999999998</v>
      </c>
      <c r="D15" s="1">
        <v>0.48380000000000001</v>
      </c>
      <c r="E15" s="1">
        <v>0.34339999999999998</v>
      </c>
      <c r="F15">
        <f t="shared" si="4"/>
        <v>3.5598242633529327</v>
      </c>
      <c r="G15">
        <f t="shared" si="5"/>
        <v>3629.3116547069662</v>
      </c>
      <c r="H15" s="1">
        <v>42</v>
      </c>
      <c r="I15" s="1">
        <v>1</v>
      </c>
      <c r="J15" s="1">
        <v>1</v>
      </c>
      <c r="K15">
        <f t="shared" si="6"/>
        <v>152431.08949769259</v>
      </c>
      <c r="L15">
        <v>397</v>
      </c>
      <c r="M15">
        <v>574</v>
      </c>
      <c r="N15">
        <f t="shared" si="7"/>
        <v>220391.55005459837</v>
      </c>
    </row>
    <row r="16" spans="1:16">
      <c r="A16" t="s">
        <v>114</v>
      </c>
      <c r="B16">
        <v>1.1299999999999999</v>
      </c>
      <c r="C16" s="1">
        <v>3.3321999999999998</v>
      </c>
      <c r="D16" s="1">
        <v>0.48380000000000001</v>
      </c>
      <c r="E16" s="1">
        <v>0.34339999999999998</v>
      </c>
      <c r="F16">
        <f t="shared" si="4"/>
        <v>3.3588468190445231</v>
      </c>
      <c r="G16">
        <f t="shared" si="5"/>
        <v>2284.7927869826044</v>
      </c>
      <c r="H16" s="1">
        <v>84</v>
      </c>
      <c r="I16" s="1">
        <v>1</v>
      </c>
      <c r="J16" s="1">
        <v>1</v>
      </c>
      <c r="K16">
        <f t="shared" si="6"/>
        <v>191922.59410653877</v>
      </c>
      <c r="L16">
        <v>397</v>
      </c>
      <c r="M16">
        <v>574</v>
      </c>
      <c r="N16">
        <f>(M16/L16)*K16</f>
        <v>277490.09827998298</v>
      </c>
      <c r="O16">
        <f>1.6*N16</f>
        <v>443984.15724797279</v>
      </c>
    </row>
    <row r="17" spans="1:20">
      <c r="A17" t="s">
        <v>127</v>
      </c>
      <c r="B17">
        <v>1.1299999999999999</v>
      </c>
      <c r="C17" s="1">
        <v>3.3321999999999998</v>
      </c>
      <c r="D17" s="1">
        <v>0.48380000000000001</v>
      </c>
      <c r="E17" s="1">
        <v>0.34339999999999998</v>
      </c>
      <c r="F17">
        <f t="shared" si="4"/>
        <v>3.3588468190445231</v>
      </c>
      <c r="G17">
        <f t="shared" si="5"/>
        <v>2284.7927869826044</v>
      </c>
      <c r="H17" s="1">
        <v>92</v>
      </c>
      <c r="I17" s="1">
        <v>1</v>
      </c>
      <c r="J17" s="1">
        <v>1</v>
      </c>
      <c r="K17">
        <f t="shared" si="6"/>
        <v>210200.93640239962</v>
      </c>
      <c r="L17">
        <v>397</v>
      </c>
      <c r="M17">
        <v>574</v>
      </c>
      <c r="N17">
        <f t="shared" si="7"/>
        <v>303917.72668760043</v>
      </c>
      <c r="O17">
        <f>1.6*N17</f>
        <v>486268.36270016071</v>
      </c>
    </row>
    <row r="18" spans="1:20">
      <c r="A18" t="s">
        <v>136</v>
      </c>
      <c r="B18">
        <v>0.63600000000000001</v>
      </c>
      <c r="C18" s="1">
        <v>3.3321999999999998</v>
      </c>
      <c r="D18" s="1">
        <v>0.48380000000000001</v>
      </c>
      <c r="E18" s="1">
        <v>0.34339999999999998</v>
      </c>
      <c r="F18">
        <f t="shared" si="4"/>
        <v>3.2503777873413675</v>
      </c>
      <c r="G18">
        <f t="shared" si="5"/>
        <v>1779.8269860811504</v>
      </c>
      <c r="H18" s="1">
        <v>29</v>
      </c>
      <c r="I18" s="1">
        <v>1</v>
      </c>
      <c r="J18" s="1">
        <v>1</v>
      </c>
      <c r="K18">
        <f t="shared" si="6"/>
        <v>51614.982596353359</v>
      </c>
      <c r="L18">
        <v>397</v>
      </c>
      <c r="M18">
        <v>574</v>
      </c>
      <c r="N18">
        <f t="shared" si="7"/>
        <v>74627.204056188479</v>
      </c>
      <c r="O18">
        <f>1.6*N18</f>
        <v>119403.52648990157</v>
      </c>
    </row>
    <row r="20" spans="1:20">
      <c r="A20" t="s">
        <v>16</v>
      </c>
      <c r="B20" t="s">
        <v>13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17</v>
      </c>
      <c r="I20" t="s">
        <v>18</v>
      </c>
      <c r="J20" t="s">
        <v>19</v>
      </c>
      <c r="K20" t="s">
        <v>20</v>
      </c>
      <c r="L20" t="s">
        <v>21</v>
      </c>
      <c r="M20" t="s">
        <v>22</v>
      </c>
      <c r="N20" t="s">
        <v>23</v>
      </c>
      <c r="O20" t="s">
        <v>24</v>
      </c>
      <c r="P20" t="s">
        <v>25</v>
      </c>
      <c r="Q20" t="s">
        <v>26</v>
      </c>
    </row>
    <row r="21" spans="1:20" ht="14.25" customHeight="1">
      <c r="A21" t="s">
        <v>31</v>
      </c>
      <c r="B21">
        <v>573.6</v>
      </c>
      <c r="C21" s="2">
        <v>4.4645999999999999</v>
      </c>
      <c r="D21" s="2">
        <v>-0.52769999999999995</v>
      </c>
      <c r="E21" s="2">
        <v>0.39550000000000002</v>
      </c>
      <c r="F21">
        <f t="shared" ref="F21" si="8">(C21+D21*LOG10(B21)+E21*(LOG10(B21)*(LOG10(B21))))</f>
        <v>6.0186070563959779</v>
      </c>
      <c r="G21">
        <f t="shared" ref="G21" si="9">10^F21</f>
        <v>1043775.3983985458</v>
      </c>
      <c r="H21" s="2">
        <v>-1.64E-3</v>
      </c>
      <c r="I21" s="2">
        <v>-6.2700000000000004E-3</v>
      </c>
      <c r="J21" s="2">
        <v>1.23E-2</v>
      </c>
      <c r="K21">
        <v>24.99</v>
      </c>
      <c r="L21">
        <f>H21+I21*LOG(K21)+J21*((LOG(K21)^2))</f>
        <v>1.3627136807305911E-2</v>
      </c>
      <c r="M21">
        <f>10^L21</f>
        <v>1.0318751097713199</v>
      </c>
      <c r="N21">
        <v>1</v>
      </c>
      <c r="O21" s="3">
        <v>1.63</v>
      </c>
      <c r="P21" s="3">
        <v>1.66</v>
      </c>
      <c r="Q21">
        <f>G21*(O21+P21*N21*M21)</f>
        <v>3489250.0166961397</v>
      </c>
      <c r="R21">
        <v>397</v>
      </c>
      <c r="S21">
        <v>574</v>
      </c>
      <c r="T21">
        <f>(S21/R21)*Q21</f>
        <v>5044910.603485099</v>
      </c>
    </row>
    <row r="22" spans="1:20">
      <c r="A22" t="s">
        <v>32</v>
      </c>
      <c r="B22">
        <v>445.5</v>
      </c>
      <c r="C22" s="2">
        <v>4.4645999999999999</v>
      </c>
      <c r="D22" s="2">
        <v>-0.52769999999999995</v>
      </c>
      <c r="E22" s="2">
        <v>0.39550000000000002</v>
      </c>
      <c r="F22">
        <f t="shared" ref="F22:F24" si="10">(C22+D22*LOG10(B22)+E22*(LOG10(B22)*(LOG10(B22))))</f>
        <v>5.8417869633328703</v>
      </c>
      <c r="G22">
        <f t="shared" ref="G22:G24" si="11">10^F22</f>
        <v>694683.4674039589</v>
      </c>
      <c r="H22" s="2">
        <v>-1.64E-3</v>
      </c>
      <c r="I22" s="2">
        <v>-6.2700000000000004E-3</v>
      </c>
      <c r="J22" s="2">
        <v>1.23E-2</v>
      </c>
      <c r="K22">
        <v>15.99</v>
      </c>
      <c r="L22">
        <f>H22+I22*LOG(K22)+J22*((LOG(K22)^2))</f>
        <v>8.6376589533803949E-3</v>
      </c>
      <c r="M22">
        <f>10^L22</f>
        <v>1.0200880475971725</v>
      </c>
      <c r="N22">
        <v>1</v>
      </c>
      <c r="O22" s="3">
        <v>1.63</v>
      </c>
      <c r="P22" s="3">
        <v>1.66</v>
      </c>
      <c r="Q22">
        <f t="shared" ref="Q22:Q27" si="12">G22*(O22+P22*N22*M22)</f>
        <v>2308673.6331256027</v>
      </c>
      <c r="R22">
        <v>397</v>
      </c>
      <c r="S22">
        <v>574</v>
      </c>
      <c r="T22">
        <f t="shared" ref="T22:T27" si="13">(S22/R22)*Q22</f>
        <v>3337981.5249725338</v>
      </c>
    </row>
    <row r="23" spans="1:20">
      <c r="A23" t="s">
        <v>33</v>
      </c>
      <c r="B23">
        <v>35.9</v>
      </c>
      <c r="C23" s="2">
        <v>4.4645999999999999</v>
      </c>
      <c r="D23" s="2">
        <v>-0.52769999999999995</v>
      </c>
      <c r="E23" s="2">
        <v>0.39550000000000002</v>
      </c>
      <c r="F23">
        <f t="shared" si="10"/>
        <v>4.6004217227368676</v>
      </c>
      <c r="G23">
        <f t="shared" si="11"/>
        <v>39849.39412686116</v>
      </c>
      <c r="H23" s="2">
        <v>-1.64E-3</v>
      </c>
      <c r="I23" s="2">
        <v>-6.2700000000000004E-3</v>
      </c>
      <c r="J23" s="2">
        <v>1.23E-2</v>
      </c>
      <c r="K23">
        <v>8.99</v>
      </c>
      <c r="L23">
        <f>H23+I23*LOG(K23)+J23*((LOG(K23)^2))</f>
        <v>3.5687145926059389E-3</v>
      </c>
      <c r="M23">
        <f>10^L23</f>
        <v>1.0082511234439389</v>
      </c>
      <c r="N23">
        <v>1</v>
      </c>
      <c r="O23" s="3">
        <v>1.63</v>
      </c>
      <c r="P23" s="3">
        <v>1.66</v>
      </c>
      <c r="Q23">
        <f t="shared" si="12"/>
        <v>131650.31844575069</v>
      </c>
      <c r="R23">
        <v>397</v>
      </c>
      <c r="S23">
        <v>574</v>
      </c>
      <c r="T23">
        <f t="shared" si="13"/>
        <v>190345.80047320123</v>
      </c>
    </row>
    <row r="24" spans="1:20">
      <c r="A24" t="s">
        <v>34</v>
      </c>
      <c r="B24">
        <v>55.5</v>
      </c>
      <c r="C24" s="2">
        <v>4.4645999999999999</v>
      </c>
      <c r="D24" s="2">
        <v>-0.52769999999999995</v>
      </c>
      <c r="E24" s="2">
        <v>0.39550000000000002</v>
      </c>
      <c r="F24">
        <f t="shared" si="10"/>
        <v>4.747468286145196</v>
      </c>
      <c r="G24">
        <f t="shared" si="11"/>
        <v>55907.270043927012</v>
      </c>
      <c r="H24" s="2">
        <v>-1.64E-3</v>
      </c>
      <c r="I24" s="2">
        <v>-6.2700000000000004E-3</v>
      </c>
      <c r="J24" s="2">
        <v>1.23E-2</v>
      </c>
      <c r="K24">
        <v>3.99</v>
      </c>
      <c r="L24">
        <f>H24+I24*LOG(K24)+J24*((LOG(K24)^2))</f>
        <v>-9.6572847334949492E-4</v>
      </c>
      <c r="M24">
        <f>10^L24</f>
        <v>0.99777879854038443</v>
      </c>
      <c r="N24">
        <v>1</v>
      </c>
      <c r="O24" s="3">
        <v>1.63</v>
      </c>
      <c r="P24" s="3">
        <v>1.66</v>
      </c>
      <c r="Q24">
        <f t="shared" si="12"/>
        <v>183728.77747021086</v>
      </c>
      <c r="R24">
        <v>397</v>
      </c>
      <c r="S24">
        <v>574</v>
      </c>
      <c r="T24">
        <f t="shared" si="13"/>
        <v>265643.11906272301</v>
      </c>
    </row>
    <row r="25" spans="1:20">
      <c r="A25" t="s">
        <v>35</v>
      </c>
      <c r="B25">
        <v>361</v>
      </c>
      <c r="C25" s="2">
        <v>3.9912000000000001</v>
      </c>
      <c r="D25" s="2">
        <v>6.6799999999999998E-2</v>
      </c>
      <c r="E25" s="2">
        <v>0.24299999999999999</v>
      </c>
      <c r="F25">
        <f t="shared" ref="F25:F27" si="14">(C25+D25*LOG10(B25)+E25*(LOG10(B25)*(LOG10(B25))))</f>
        <v>5.7514663514225299</v>
      </c>
      <c r="G25">
        <f t="shared" ref="G25:G27" si="15">10^F25</f>
        <v>564243.22281284153</v>
      </c>
      <c r="H25" s="2">
        <v>-0.40450000000000003</v>
      </c>
      <c r="I25" s="2">
        <v>0.18590000000000001</v>
      </c>
      <c r="J25" s="2">
        <v>0</v>
      </c>
      <c r="K25">
        <v>14.99</v>
      </c>
      <c r="L25">
        <f t="shared" ref="L25:L27" si="16">H25+I25*LOG(K25)+J25*((LOG(K25)^2))</f>
        <v>-0.18591847645350487</v>
      </c>
      <c r="M25">
        <f t="shared" ref="M25:M27" si="17">10^L25</f>
        <v>0.65175072590294836</v>
      </c>
      <c r="N25">
        <v>1</v>
      </c>
      <c r="O25" s="3">
        <v>1.74</v>
      </c>
      <c r="P25" s="3">
        <v>1.55</v>
      </c>
      <c r="Q25">
        <f t="shared" si="12"/>
        <v>1551789.3992781814</v>
      </c>
      <c r="R25">
        <v>397</v>
      </c>
      <c r="S25">
        <v>574</v>
      </c>
      <c r="T25">
        <f t="shared" si="13"/>
        <v>2243645.1264122822</v>
      </c>
    </row>
    <row r="26" spans="1:20">
      <c r="A26" t="s">
        <v>36</v>
      </c>
      <c r="B26">
        <v>1141</v>
      </c>
      <c r="C26" s="2">
        <v>3.9912000000000001</v>
      </c>
      <c r="D26" s="2">
        <v>6.6799999999999998E-2</v>
      </c>
      <c r="E26" s="2">
        <v>0.24299999999999999</v>
      </c>
      <c r="F26">
        <f t="shared" si="14"/>
        <v>6.4667465903576016</v>
      </c>
      <c r="G26">
        <f t="shared" si="15"/>
        <v>2929183.575899893</v>
      </c>
      <c r="H26" s="2">
        <v>-0.40450000000000003</v>
      </c>
      <c r="I26" s="2">
        <v>0.18590000000000001</v>
      </c>
      <c r="J26" s="2">
        <v>0</v>
      </c>
      <c r="K26">
        <v>7.99</v>
      </c>
      <c r="L26">
        <f t="shared" si="16"/>
        <v>-0.23671655372552902</v>
      </c>
      <c r="M26">
        <f t="shared" si="17"/>
        <v>0.57980698931153007</v>
      </c>
      <c r="N26">
        <v>1</v>
      </c>
      <c r="O26" s="3">
        <v>1.74</v>
      </c>
      <c r="P26" s="3">
        <v>1.55</v>
      </c>
      <c r="Q26">
        <f t="shared" si="12"/>
        <v>7729239.1430049269</v>
      </c>
      <c r="R26">
        <v>397</v>
      </c>
      <c r="S26">
        <v>574</v>
      </c>
      <c r="T26">
        <f t="shared" si="13"/>
        <v>11175272.715578912</v>
      </c>
    </row>
    <row r="27" spans="1:20">
      <c r="A27" t="s">
        <v>37</v>
      </c>
      <c r="B27">
        <v>864</v>
      </c>
      <c r="C27" s="2">
        <v>3.9912000000000001</v>
      </c>
      <c r="D27" s="2">
        <v>6.6799999999999998E-2</v>
      </c>
      <c r="E27" s="2">
        <v>0.24299999999999999</v>
      </c>
      <c r="F27">
        <f t="shared" si="14"/>
        <v>6.2827755672210674</v>
      </c>
      <c r="G27">
        <f t="shared" si="15"/>
        <v>1917677.4756888112</v>
      </c>
      <c r="H27" s="2">
        <v>-0.40450000000000003</v>
      </c>
      <c r="I27" s="2">
        <v>0.18590000000000001</v>
      </c>
      <c r="J27" s="2">
        <v>0</v>
      </c>
      <c r="K27">
        <v>2.99</v>
      </c>
      <c r="L27">
        <f t="shared" si="16"/>
        <v>-0.31607272609048853</v>
      </c>
      <c r="M27">
        <f t="shared" si="17"/>
        <v>0.48297791674581997</v>
      </c>
      <c r="N27">
        <v>1</v>
      </c>
      <c r="O27" s="3">
        <v>1.74</v>
      </c>
      <c r="P27" s="3">
        <v>1.55</v>
      </c>
      <c r="Q27">
        <f t="shared" si="12"/>
        <v>4772362.4096063068</v>
      </c>
      <c r="R27">
        <v>397</v>
      </c>
      <c r="S27">
        <v>574</v>
      </c>
      <c r="T27">
        <f t="shared" si="13"/>
        <v>6900090.7383224685</v>
      </c>
    </row>
    <row r="30" spans="1:20">
      <c r="A30" t="s">
        <v>38</v>
      </c>
      <c r="B30" t="s">
        <v>45</v>
      </c>
      <c r="C30" t="s">
        <v>46</v>
      </c>
      <c r="D30" t="s">
        <v>47</v>
      </c>
      <c r="E30" t="s">
        <v>48</v>
      </c>
      <c r="F30" t="s">
        <v>49</v>
      </c>
      <c r="G30" t="s">
        <v>5</v>
      </c>
      <c r="H30" t="s">
        <v>6</v>
      </c>
      <c r="I30" t="s">
        <v>50</v>
      </c>
      <c r="J30" t="s">
        <v>51</v>
      </c>
    </row>
    <row r="31" spans="1:20">
      <c r="A31" t="s">
        <v>39</v>
      </c>
      <c r="B31">
        <v>48.89</v>
      </c>
      <c r="C31">
        <f>B31*2.5</f>
        <v>122.22499999999999</v>
      </c>
      <c r="D31" s="4">
        <v>4.8509000000000002</v>
      </c>
      <c r="E31" s="4">
        <v>-0.39729999999999999</v>
      </c>
      <c r="F31" s="4">
        <v>0.14449999999999999</v>
      </c>
      <c r="G31">
        <f t="shared" ref="G31" si="18">(D31+E31*LOG10(C31)+F31*(LOG10(C31)*(LOG10(C31))))</f>
        <v>4.6511475685369028</v>
      </c>
      <c r="H31">
        <f t="shared" ref="H31" si="19">10^G31</f>
        <v>44786.545813165183</v>
      </c>
      <c r="I31" s="2">
        <v>1</v>
      </c>
      <c r="J31">
        <f>H31*I31</f>
        <v>44786.545813165183</v>
      </c>
      <c r="K31">
        <v>397</v>
      </c>
      <c r="L31">
        <v>574</v>
      </c>
      <c r="M31">
        <f t="shared" ref="M31" si="20">(L31/K31)*J31</f>
        <v>64754.350873442854</v>
      </c>
    </row>
    <row r="32" spans="1:20">
      <c r="A32" t="s">
        <v>40</v>
      </c>
      <c r="B32">
        <v>81.66</v>
      </c>
      <c r="C32">
        <f t="shared" ref="C32:C39" si="21">B32*2.5</f>
        <v>204.14999999999998</v>
      </c>
      <c r="D32" s="4">
        <v>4.8509000000000002</v>
      </c>
      <c r="E32" s="4">
        <v>-0.39729999999999999</v>
      </c>
      <c r="F32" s="4">
        <v>0.14449999999999999</v>
      </c>
      <c r="G32">
        <f t="shared" ref="G32:G46" si="22">(D32+E32*LOG10(C32)+F32*(LOG10(C32)*(LOG10(C32))))</f>
        <v>4.7041897694415722</v>
      </c>
      <c r="H32">
        <f t="shared" ref="H32:H46" si="23">10^G32</f>
        <v>50604.573558940312</v>
      </c>
      <c r="I32" s="2">
        <v>1</v>
      </c>
      <c r="J32">
        <f t="shared" ref="J32:J46" si="24">H32*I32</f>
        <v>50604.573558940312</v>
      </c>
      <c r="K32">
        <v>397</v>
      </c>
      <c r="L32">
        <v>574</v>
      </c>
      <c r="M32">
        <f t="shared" ref="M32:M46" si="25">(L32/K32)*J32</f>
        <v>73166.310384966593</v>
      </c>
    </row>
    <row r="33" spans="1:13">
      <c r="A33" t="s">
        <v>41</v>
      </c>
      <c r="B33">
        <v>63.01</v>
      </c>
      <c r="C33">
        <f t="shared" si="21"/>
        <v>157.52500000000001</v>
      </c>
      <c r="D33" s="4">
        <v>4.8509000000000002</v>
      </c>
      <c r="E33" s="4">
        <v>-0.39729999999999999</v>
      </c>
      <c r="F33" s="4">
        <v>0.14449999999999999</v>
      </c>
      <c r="G33">
        <f t="shared" si="22"/>
        <v>4.6755888680996716</v>
      </c>
      <c r="H33">
        <f t="shared" si="23"/>
        <v>47379.324884462316</v>
      </c>
      <c r="I33" s="2">
        <v>1</v>
      </c>
      <c r="J33">
        <f t="shared" si="24"/>
        <v>47379.324884462316</v>
      </c>
      <c r="K33">
        <v>397</v>
      </c>
      <c r="L33">
        <v>574</v>
      </c>
      <c r="M33">
        <f t="shared" si="25"/>
        <v>68503.10449290018</v>
      </c>
    </row>
    <row r="34" spans="1:13">
      <c r="A34" t="s">
        <v>42</v>
      </c>
      <c r="B34">
        <v>1.329</v>
      </c>
      <c r="C34">
        <f t="shared" si="21"/>
        <v>3.3224999999999998</v>
      </c>
      <c r="D34" s="4">
        <v>4.8509000000000002</v>
      </c>
      <c r="E34" s="4">
        <v>-0.39729999999999999</v>
      </c>
      <c r="F34" s="4">
        <v>0.14449999999999999</v>
      </c>
      <c r="G34">
        <f t="shared" si="22"/>
        <v>4.6830152283904756</v>
      </c>
      <c r="H34">
        <f t="shared" si="23"/>
        <v>48196.469725943847</v>
      </c>
      <c r="I34" s="2">
        <v>1</v>
      </c>
      <c r="J34">
        <f t="shared" si="24"/>
        <v>48196.469725943847</v>
      </c>
      <c r="K34">
        <v>397</v>
      </c>
      <c r="L34">
        <v>574</v>
      </c>
      <c r="M34">
        <f t="shared" si="25"/>
        <v>69684.568319122845</v>
      </c>
    </row>
    <row r="35" spans="1:13">
      <c r="A35" t="s">
        <v>43</v>
      </c>
      <c r="B35">
        <v>1.0569999999999999</v>
      </c>
      <c r="C35">
        <f>B35*2.5</f>
        <v>2.6425000000000001</v>
      </c>
      <c r="D35" s="4">
        <v>4.8509000000000002</v>
      </c>
      <c r="E35" s="4">
        <v>-0.39729999999999999</v>
      </c>
      <c r="F35" s="4">
        <v>0.14449999999999999</v>
      </c>
      <c r="G35">
        <f t="shared" si="22"/>
        <v>4.7089684090095174</v>
      </c>
      <c r="H35">
        <f t="shared" si="23"/>
        <v>51164.461667437143</v>
      </c>
      <c r="I35" s="2">
        <v>1</v>
      </c>
      <c r="J35">
        <f t="shared" si="24"/>
        <v>51164.461667437143</v>
      </c>
      <c r="K35">
        <v>397</v>
      </c>
      <c r="L35">
        <v>574</v>
      </c>
      <c r="M35">
        <f t="shared" si="25"/>
        <v>73975.821151407858</v>
      </c>
    </row>
    <row r="36" spans="1:13">
      <c r="A36" t="s">
        <v>44</v>
      </c>
      <c r="B36">
        <v>2.0979999999999999</v>
      </c>
      <c r="C36">
        <f t="shared" si="21"/>
        <v>5.2449999999999992</v>
      </c>
      <c r="D36" s="4">
        <v>4.8509000000000002</v>
      </c>
      <c r="E36" s="4">
        <v>-0.39729999999999999</v>
      </c>
      <c r="F36" s="4">
        <v>0.14449999999999999</v>
      </c>
      <c r="G36">
        <f t="shared" si="22"/>
        <v>4.6398009672634046</v>
      </c>
      <c r="H36">
        <f t="shared" si="23"/>
        <v>43631.582731495211</v>
      </c>
      <c r="I36" s="2">
        <v>1</v>
      </c>
      <c r="J36">
        <f t="shared" si="24"/>
        <v>43631.582731495211</v>
      </c>
      <c r="K36">
        <v>397</v>
      </c>
      <c r="L36">
        <v>574</v>
      </c>
      <c r="M36">
        <f t="shared" si="25"/>
        <v>63084.45462941625</v>
      </c>
    </row>
    <row r="37" spans="1:13">
      <c r="A37" t="s">
        <v>81</v>
      </c>
      <c r="B37">
        <v>3.1549999999999998</v>
      </c>
      <c r="C37">
        <f t="shared" si="21"/>
        <v>7.8874999999999993</v>
      </c>
      <c r="D37" s="4">
        <v>4.8509000000000002</v>
      </c>
      <c r="E37" s="4">
        <v>-0.39729999999999999</v>
      </c>
      <c r="F37" s="4">
        <v>0.14449999999999999</v>
      </c>
      <c r="G37">
        <f t="shared" si="22"/>
        <v>4.6107962717223989</v>
      </c>
      <c r="H37">
        <f t="shared" si="23"/>
        <v>40812.788793607462</v>
      </c>
      <c r="I37" s="2">
        <v>1</v>
      </c>
      <c r="J37">
        <f t="shared" si="24"/>
        <v>40812.788793607462</v>
      </c>
      <c r="K37">
        <v>397</v>
      </c>
      <c r="L37">
        <v>574</v>
      </c>
      <c r="M37">
        <f t="shared" si="25"/>
        <v>59008.918809900963</v>
      </c>
    </row>
    <row r="38" spans="1:13">
      <c r="A38" t="s">
        <v>87</v>
      </c>
      <c r="B38">
        <v>4.484</v>
      </c>
      <c r="C38">
        <f t="shared" si="21"/>
        <v>11.21</v>
      </c>
      <c r="D38" s="4">
        <v>4.8509000000000002</v>
      </c>
      <c r="E38" s="4">
        <v>-0.39729999999999999</v>
      </c>
      <c r="F38" s="4">
        <v>0.14449999999999999</v>
      </c>
      <c r="G38">
        <f t="shared" si="22"/>
        <v>4.5930832857336981</v>
      </c>
      <c r="H38">
        <f t="shared" si="23"/>
        <v>39181.700962649658</v>
      </c>
      <c r="I38" s="2">
        <v>1</v>
      </c>
      <c r="J38">
        <f t="shared" si="24"/>
        <v>39181.700962649658</v>
      </c>
      <c r="K38">
        <v>397</v>
      </c>
      <c r="L38">
        <v>574</v>
      </c>
      <c r="M38">
        <f t="shared" si="25"/>
        <v>56650.620535417889</v>
      </c>
    </row>
    <row r="39" spans="1:13">
      <c r="A39" t="s">
        <v>90</v>
      </c>
      <c r="B39">
        <v>16.533000000000001</v>
      </c>
      <c r="C39">
        <f t="shared" si="21"/>
        <v>41.332500000000003</v>
      </c>
      <c r="D39" s="4">
        <v>4.8509000000000002</v>
      </c>
      <c r="E39" s="4">
        <v>-0.39729999999999999</v>
      </c>
      <c r="F39" s="4">
        <v>0.14449999999999999</v>
      </c>
      <c r="G39">
        <f t="shared" si="22"/>
        <v>4.5862389410002509</v>
      </c>
      <c r="H39">
        <f t="shared" si="23"/>
        <v>38569.04992667686</v>
      </c>
      <c r="I39" s="2">
        <v>1</v>
      </c>
      <c r="J39">
        <f t="shared" si="24"/>
        <v>38569.04992667686</v>
      </c>
      <c r="K39">
        <v>397</v>
      </c>
      <c r="L39">
        <v>574</v>
      </c>
      <c r="M39">
        <f t="shared" si="25"/>
        <v>55764.822815900545</v>
      </c>
    </row>
    <row r="40" spans="1:13">
      <c r="A40" t="s">
        <v>91</v>
      </c>
      <c r="B40">
        <v>8.0324000000000009</v>
      </c>
      <c r="C40">
        <f t="shared" ref="C40:C46" si="26">B40*2.5</f>
        <v>20.081000000000003</v>
      </c>
      <c r="D40" s="4">
        <v>4.8509000000000002</v>
      </c>
      <c r="E40" s="4">
        <v>-0.39729999999999999</v>
      </c>
      <c r="F40" s="4">
        <v>0.14449999999999999</v>
      </c>
      <c r="G40">
        <f t="shared" si="22"/>
        <v>4.5785559577843342</v>
      </c>
      <c r="H40">
        <f t="shared" si="23"/>
        <v>37892.735446821243</v>
      </c>
      <c r="I40" s="2">
        <v>1</v>
      </c>
      <c r="J40">
        <f t="shared" si="24"/>
        <v>37892.735446821243</v>
      </c>
      <c r="K40">
        <v>397</v>
      </c>
      <c r="L40">
        <v>574</v>
      </c>
      <c r="M40">
        <f t="shared" si="25"/>
        <v>54786.977698930459</v>
      </c>
    </row>
    <row r="41" spans="1:13">
      <c r="A41" t="s">
        <v>92</v>
      </c>
      <c r="B41">
        <v>19.7746</v>
      </c>
      <c r="C41">
        <f t="shared" si="26"/>
        <v>49.436499999999995</v>
      </c>
      <c r="D41" s="4">
        <v>4.8509000000000002</v>
      </c>
      <c r="E41" s="4">
        <v>-0.39729999999999999</v>
      </c>
      <c r="F41" s="4">
        <v>0.14449999999999999</v>
      </c>
      <c r="G41">
        <f t="shared" si="22"/>
        <v>4.5925406048967039</v>
      </c>
      <c r="H41">
        <f t="shared" si="23"/>
        <v>39132.77130823124</v>
      </c>
      <c r="I41" s="2">
        <v>1</v>
      </c>
      <c r="J41">
        <f t="shared" si="24"/>
        <v>39132.77130823124</v>
      </c>
      <c r="K41">
        <v>397</v>
      </c>
      <c r="L41">
        <v>574</v>
      </c>
      <c r="M41">
        <f t="shared" si="25"/>
        <v>56579.87589653585</v>
      </c>
    </row>
    <row r="42" spans="1:13">
      <c r="A42" t="s">
        <v>129</v>
      </c>
      <c r="B42">
        <v>16.91</v>
      </c>
      <c r="C42">
        <f t="shared" si="26"/>
        <v>42.274999999999999</v>
      </c>
      <c r="D42" s="4">
        <v>4.8509000000000002</v>
      </c>
      <c r="E42" s="4">
        <v>-0.39729999999999999</v>
      </c>
      <c r="F42" s="4">
        <v>0.14449999999999999</v>
      </c>
      <c r="G42">
        <f t="shared" si="22"/>
        <v>4.5869363547221118</v>
      </c>
      <c r="H42">
        <f t="shared" si="23"/>
        <v>38631.035963688759</v>
      </c>
      <c r="I42" s="2">
        <v>1</v>
      </c>
      <c r="J42">
        <f t="shared" si="24"/>
        <v>38631.035963688759</v>
      </c>
      <c r="K42">
        <v>397</v>
      </c>
      <c r="L42">
        <v>574</v>
      </c>
      <c r="M42">
        <f t="shared" si="25"/>
        <v>55854.444944980722</v>
      </c>
    </row>
    <row r="43" spans="1:13">
      <c r="A43" t="s">
        <v>130</v>
      </c>
      <c r="B43">
        <v>27.39</v>
      </c>
      <c r="C43">
        <f t="shared" si="26"/>
        <v>68.474999999999994</v>
      </c>
      <c r="D43" s="4">
        <v>4.8509000000000002</v>
      </c>
      <c r="E43" s="4">
        <v>-0.39729999999999999</v>
      </c>
      <c r="F43" s="4">
        <v>0.14449999999999999</v>
      </c>
      <c r="G43">
        <f t="shared" si="22"/>
        <v>4.6084893228270332</v>
      </c>
      <c r="H43">
        <f t="shared" si="23"/>
        <v>40596.568242226094</v>
      </c>
      <c r="I43" s="2">
        <v>1</v>
      </c>
      <c r="J43">
        <f t="shared" si="24"/>
        <v>40596.568242226094</v>
      </c>
      <c r="K43">
        <v>397</v>
      </c>
      <c r="L43">
        <v>574</v>
      </c>
      <c r="M43">
        <f t="shared" si="25"/>
        <v>58696.29766004478</v>
      </c>
    </row>
    <row r="44" spans="1:13">
      <c r="A44" t="s">
        <v>131</v>
      </c>
      <c r="B44">
        <v>242.7</v>
      </c>
      <c r="C44">
        <f t="shared" si="26"/>
        <v>606.75</v>
      </c>
      <c r="D44" s="4">
        <v>4.8509000000000002</v>
      </c>
      <c r="E44" s="4">
        <v>-0.39729999999999999</v>
      </c>
      <c r="F44" s="4">
        <v>0.14449999999999999</v>
      </c>
      <c r="G44">
        <f t="shared" si="22"/>
        <v>4.8643834428832475</v>
      </c>
      <c r="H44">
        <f t="shared" si="23"/>
        <v>73178.489845061151</v>
      </c>
      <c r="I44" s="2">
        <v>1</v>
      </c>
      <c r="J44">
        <f t="shared" si="24"/>
        <v>73178.489845061151</v>
      </c>
      <c r="K44">
        <v>397</v>
      </c>
      <c r="L44">
        <v>574</v>
      </c>
      <c r="M44">
        <f t="shared" si="25"/>
        <v>105804.66793719168</v>
      </c>
    </row>
    <row r="45" spans="1:13">
      <c r="A45" t="s">
        <v>137</v>
      </c>
      <c r="B45">
        <v>62.31</v>
      </c>
      <c r="C45">
        <f t="shared" si="26"/>
        <v>155.77500000000001</v>
      </c>
      <c r="D45" s="4">
        <v>4.8509000000000002</v>
      </c>
      <c r="E45" s="4">
        <v>-0.39729999999999999</v>
      </c>
      <c r="F45" s="4">
        <v>0.14449999999999999</v>
      </c>
      <c r="G45">
        <f t="shared" si="22"/>
        <v>4.6744388487236259</v>
      </c>
      <c r="H45">
        <f t="shared" si="23"/>
        <v>47254.02956966521</v>
      </c>
      <c r="I45" s="2">
        <v>1</v>
      </c>
      <c r="J45">
        <f t="shared" si="24"/>
        <v>47254.02956966521</v>
      </c>
      <c r="K45">
        <v>397</v>
      </c>
      <c r="L45">
        <v>574</v>
      </c>
      <c r="M45">
        <f t="shared" si="25"/>
        <v>68321.947035233825</v>
      </c>
    </row>
    <row r="46" spans="1:13">
      <c r="A46" t="s">
        <v>138</v>
      </c>
      <c r="B46">
        <v>231.34</v>
      </c>
      <c r="C46">
        <f t="shared" si="26"/>
        <v>578.35</v>
      </c>
      <c r="D46" s="4">
        <v>4.8509000000000002</v>
      </c>
      <c r="E46" s="4">
        <v>-0.39729999999999999</v>
      </c>
      <c r="F46" s="4">
        <v>0.14449999999999999</v>
      </c>
      <c r="G46">
        <f t="shared" si="22"/>
        <v>4.8559729343236082</v>
      </c>
      <c r="H46">
        <f t="shared" si="23"/>
        <v>71774.955899072811</v>
      </c>
      <c r="I46" s="2">
        <v>1</v>
      </c>
      <c r="J46">
        <f t="shared" si="24"/>
        <v>71774.955899072811</v>
      </c>
      <c r="K46">
        <v>397</v>
      </c>
      <c r="L46">
        <v>574</v>
      </c>
      <c r="M46">
        <f t="shared" si="25"/>
        <v>103775.37704299192</v>
      </c>
    </row>
    <row r="49" spans="1:18">
      <c r="B49" t="s">
        <v>60</v>
      </c>
      <c r="C49" t="s">
        <v>55</v>
      </c>
      <c r="D49" t="s">
        <v>52</v>
      </c>
      <c r="E49" t="s">
        <v>53</v>
      </c>
      <c r="F49" t="s">
        <v>54</v>
      </c>
      <c r="G49" t="s">
        <v>5</v>
      </c>
      <c r="H49" t="s">
        <v>6</v>
      </c>
      <c r="I49" t="s">
        <v>56</v>
      </c>
      <c r="J49" t="s">
        <v>57</v>
      </c>
      <c r="K49" t="s">
        <v>58</v>
      </c>
      <c r="L49" t="s">
        <v>59</v>
      </c>
      <c r="M49" t="s">
        <v>21</v>
      </c>
      <c r="N49" t="s">
        <v>9</v>
      </c>
      <c r="O49" t="s">
        <v>10</v>
      </c>
      <c r="P49" t="s">
        <v>61</v>
      </c>
      <c r="Q49" t="s">
        <v>62</v>
      </c>
    </row>
    <row r="50" spans="1:18">
      <c r="C50">
        <v>147.69999999999999</v>
      </c>
      <c r="D50" s="4">
        <v>3.3892000000000002</v>
      </c>
      <c r="E50" s="4">
        <v>5.3600000000000002E-2</v>
      </c>
      <c r="F50" s="4">
        <v>0.15379999999999999</v>
      </c>
      <c r="G50">
        <f t="shared" ref="G50" si="27">(D50+E50*LOG10(C50)+F50*(LOG10(C50)*(LOG10(C50))))</f>
        <v>4.2292941591517801</v>
      </c>
      <c r="H50">
        <f t="shared" ref="H50" si="28">10^G50</f>
        <v>16954.858090464273</v>
      </c>
      <c r="I50" s="4">
        <v>-0.39350000000000002</v>
      </c>
      <c r="J50" s="4">
        <v>0.3957</v>
      </c>
      <c r="K50" s="4">
        <v>-2.2599999999999999E-3</v>
      </c>
      <c r="L50" s="2">
        <v>15.5</v>
      </c>
      <c r="M50">
        <f>I50+J50*LOG(L50)+K50*((LOG(L50)^2))</f>
        <v>7.431208257921243E-2</v>
      </c>
      <c r="N50">
        <f>10^M50</f>
        <v>1.1866211438979424</v>
      </c>
      <c r="O50" s="2">
        <v>2.15</v>
      </c>
      <c r="P50" s="5">
        <v>1.89</v>
      </c>
      <c r="Q50" s="4">
        <v>1.35</v>
      </c>
      <c r="R50">
        <f>H50*N50*O50</f>
        <v>43255.835169158097</v>
      </c>
    </row>
    <row r="51" spans="1:18">
      <c r="D51" s="2"/>
      <c r="E51" s="2"/>
      <c r="F51" s="2"/>
      <c r="I51" s="2"/>
      <c r="J51" s="2"/>
      <c r="K51" s="2"/>
      <c r="L51" s="2"/>
      <c r="O51" s="2"/>
      <c r="P51" s="3"/>
      <c r="Q51" s="2"/>
    </row>
    <row r="52" spans="1:18">
      <c r="D52" s="2"/>
      <c r="E52" s="2"/>
      <c r="F52" s="2"/>
      <c r="I52" s="2"/>
      <c r="J52" s="2"/>
      <c r="K52" s="2"/>
      <c r="L52" s="2"/>
      <c r="O52" s="2"/>
      <c r="P52" s="3"/>
      <c r="Q52" s="2"/>
    </row>
    <row r="53" spans="1:18">
      <c r="A53" t="s">
        <v>124</v>
      </c>
      <c r="B53" t="s">
        <v>64</v>
      </c>
      <c r="C53" t="s">
        <v>65</v>
      </c>
      <c r="E53" t="s">
        <v>66</v>
      </c>
      <c r="F53" t="s">
        <v>67</v>
      </c>
    </row>
    <row r="54" spans="1:18">
      <c r="A54" t="s">
        <v>63</v>
      </c>
      <c r="B54">
        <f>(1600-101.325)*1000</f>
        <v>1498675</v>
      </c>
      <c r="C54">
        <v>89920.6</v>
      </c>
      <c r="D54" s="6">
        <v>3060000000</v>
      </c>
      <c r="E54" s="6">
        <f>(B54*C54)/D54</f>
        <v>44.039789282679742</v>
      </c>
      <c r="F54">
        <v>42700</v>
      </c>
      <c r="G54">
        <v>397</v>
      </c>
      <c r="H54">
        <v>574</v>
      </c>
      <c r="I54">
        <f>(H54/G54)*F54</f>
        <v>61737.531486146094</v>
      </c>
    </row>
    <row r="55" spans="1:18">
      <c r="A55" t="s">
        <v>68</v>
      </c>
      <c r="B55">
        <v>798675</v>
      </c>
      <c r="C55">
        <v>102761.9</v>
      </c>
      <c r="D55" s="6">
        <v>3060000000</v>
      </c>
      <c r="E55" s="6">
        <f>(B55*C55)/D55</f>
        <v>26.821359634803922</v>
      </c>
      <c r="F55">
        <v>30183</v>
      </c>
      <c r="G55">
        <v>397</v>
      </c>
      <c r="H55">
        <v>574</v>
      </c>
      <c r="I55">
        <f t="shared" ref="I55:I56" si="29">(H55/G55)*F55</f>
        <v>43639.904282115865</v>
      </c>
    </row>
    <row r="56" spans="1:18">
      <c r="A56" t="s">
        <v>69</v>
      </c>
      <c r="B56">
        <v>298675</v>
      </c>
      <c r="C56">
        <v>178725.7</v>
      </c>
      <c r="D56" s="6">
        <v>3060000000</v>
      </c>
      <c r="E56" s="6">
        <f>(B56*C56)/D56</f>
        <v>17.444738054738561</v>
      </c>
      <c r="F56">
        <v>24699</v>
      </c>
      <c r="G56">
        <v>397</v>
      </c>
      <c r="H56">
        <v>574</v>
      </c>
      <c r="I56">
        <f t="shared" si="29"/>
        <v>35710.896725440805</v>
      </c>
    </row>
    <row r="61" spans="1:18">
      <c r="A61" t="s">
        <v>70</v>
      </c>
    </row>
    <row r="62" spans="1:18">
      <c r="A62" t="s">
        <v>71</v>
      </c>
      <c r="B62">
        <f>SUM(I54:I56)</f>
        <v>141088.33249370276</v>
      </c>
    </row>
    <row r="63" spans="1:18">
      <c r="A63" t="s">
        <v>72</v>
      </c>
      <c r="B63">
        <f>SUM(T21:T27)</f>
        <v>29157889.628307216</v>
      </c>
    </row>
    <row r="64" spans="1:18">
      <c r="A64" t="s">
        <v>73</v>
      </c>
      <c r="B64">
        <f>SUM(O3:O6)</f>
        <v>425571.51457464905</v>
      </c>
    </row>
    <row r="65" spans="1:2">
      <c r="A65" t="s">
        <v>74</v>
      </c>
      <c r="B65">
        <f>SUM(N12:N15)</f>
        <v>640651.5386496915</v>
      </c>
    </row>
    <row r="66" spans="1:2">
      <c r="A66" t="s">
        <v>107</v>
      </c>
      <c r="B66">
        <f>SUM(M31+M33+M34+M35+M36)</f>
        <v>340002.29946628993</v>
      </c>
    </row>
    <row r="67" spans="1:2">
      <c r="A67" t="s">
        <v>75</v>
      </c>
      <c r="B67">
        <f>SUM(B62:B66)</f>
        <v>30705203.313491553</v>
      </c>
    </row>
    <row r="70" spans="1:2">
      <c r="A70" t="s">
        <v>76</v>
      </c>
    </row>
    <row r="71" spans="1:2">
      <c r="A71" t="s">
        <v>77</v>
      </c>
      <c r="B71">
        <f>SUM(I54:I55)</f>
        <v>105377.43576826196</v>
      </c>
    </row>
    <row r="72" spans="1:2">
      <c r="A72" t="s">
        <v>78</v>
      </c>
      <c r="B72">
        <f>SUM(T21+T22+T25+T23+T26)</f>
        <v>21992155.770922028</v>
      </c>
    </row>
    <row r="73" spans="1:2">
      <c r="A73" t="s">
        <v>79</v>
      </c>
      <c r="B73">
        <f>SUM(O3+O4+O5)</f>
        <v>363798.72536600009</v>
      </c>
    </row>
    <row r="74" spans="1:2">
      <c r="A74" t="s">
        <v>80</v>
      </c>
      <c r="B74">
        <f>SUM(N12+N13+N14)</f>
        <v>420259.98859509313</v>
      </c>
    </row>
    <row r="75" spans="1:2">
      <c r="A75" t="s">
        <v>88</v>
      </c>
      <c r="B75">
        <f>SUM(M31+M33+M34+M37)</f>
        <v>261950.94249536682</v>
      </c>
    </row>
    <row r="76" spans="1:2">
      <c r="A76" t="s">
        <v>82</v>
      </c>
      <c r="B76">
        <f>SUM(B71:B75)</f>
        <v>23143542.863146752</v>
      </c>
    </row>
    <row r="79" spans="1:2">
      <c r="A79" t="s">
        <v>83</v>
      </c>
    </row>
    <row r="80" spans="1:2">
      <c r="A80" t="s">
        <v>84</v>
      </c>
      <c r="B80">
        <f>I54</f>
        <v>61737.531486146094</v>
      </c>
    </row>
    <row r="81" spans="1:2">
      <c r="A81" t="s">
        <v>89</v>
      </c>
      <c r="B81">
        <f>SUM(T21+T22+T25)</f>
        <v>10626537.254869916</v>
      </c>
    </row>
    <row r="82" spans="1:2">
      <c r="A82" t="s">
        <v>85</v>
      </c>
      <c r="B82">
        <f>SUM(O3+O4)</f>
        <v>332369.6411786268</v>
      </c>
    </row>
    <row r="83" spans="1:2">
      <c r="A83" t="s">
        <v>86</v>
      </c>
      <c r="B83">
        <f>SUM(N12+N13)</f>
        <v>325525.98733621649</v>
      </c>
    </row>
    <row r="84" spans="1:2">
      <c r="A84" t="s">
        <v>108</v>
      </c>
      <c r="B84">
        <f>M38+M31+M33</f>
        <v>189908.07590176092</v>
      </c>
    </row>
    <row r="85" spans="1:2">
      <c r="A85" t="s">
        <v>82</v>
      </c>
      <c r="B85">
        <f>SUM(B80:B84)</f>
        <v>11536078.490772666</v>
      </c>
    </row>
    <row r="87" spans="1:2">
      <c r="A87" t="s">
        <v>115</v>
      </c>
    </row>
    <row r="88" spans="1:2">
      <c r="A88" t="s">
        <v>117</v>
      </c>
      <c r="B88">
        <f>I54+30024.3</f>
        <v>91761.831486146097</v>
      </c>
    </row>
    <row r="89" spans="1:2">
      <c r="A89" t="s">
        <v>116</v>
      </c>
      <c r="B89">
        <f>SUM(T21+T22+T25)+6868196.528</f>
        <v>17494733.782869916</v>
      </c>
    </row>
    <row r="90" spans="1:2">
      <c r="A90" t="s">
        <v>118</v>
      </c>
      <c r="B90">
        <f>O3+O4+P7</f>
        <v>452528.73892286117</v>
      </c>
    </row>
    <row r="91" spans="1:2">
      <c r="A91" t="s">
        <v>119</v>
      </c>
      <c r="B91">
        <f>N12+N13+O16</f>
        <v>769510.14458418929</v>
      </c>
    </row>
    <row r="92" spans="1:2">
      <c r="A92" t="s">
        <v>120</v>
      </c>
      <c r="B92">
        <f>(M31+M33)+M39+M40+M41</f>
        <v>300389.13177770987</v>
      </c>
    </row>
    <row r="93" spans="1:2">
      <c r="A93" t="s">
        <v>121</v>
      </c>
      <c r="B93">
        <f>SUM(B88:B92)</f>
        <v>19108923.629640825</v>
      </c>
    </row>
    <row r="95" spans="1:2">
      <c r="A95" t="s">
        <v>122</v>
      </c>
    </row>
    <row r="96" spans="1:2">
      <c r="A96" t="s">
        <v>84</v>
      </c>
      <c r="B96">
        <f>39031.59</f>
        <v>39031.589999999997</v>
      </c>
    </row>
    <row r="97" spans="1:8">
      <c r="A97" t="s">
        <v>125</v>
      </c>
      <c r="B97">
        <f>T21+8928655.486</f>
        <v>13973566.089485098</v>
      </c>
    </row>
    <row r="98" spans="1:8">
      <c r="A98" t="s">
        <v>126</v>
      </c>
      <c r="B98">
        <f>O3+P8</f>
        <v>303835.4808851339</v>
      </c>
    </row>
    <row r="99" spans="1:8">
      <c r="A99" t="s">
        <v>128</v>
      </c>
      <c r="B99">
        <f>N12+O17</f>
        <v>626775.02468112961</v>
      </c>
    </row>
    <row r="100" spans="1:8">
      <c r="A100" t="s">
        <v>132</v>
      </c>
      <c r="B100">
        <f>(M31)+M42+M43+M44</f>
        <v>285109.76141566003</v>
      </c>
    </row>
    <row r="101" spans="1:8">
      <c r="A101" t="s">
        <v>121</v>
      </c>
      <c r="B101">
        <f>SUM(B96:B100)</f>
        <v>15228317.946467021</v>
      </c>
    </row>
    <row r="103" spans="1:8">
      <c r="A103" t="s">
        <v>123</v>
      </c>
    </row>
    <row r="104" spans="1:8">
      <c r="A104" t="s">
        <v>84</v>
      </c>
      <c r="B104">
        <f>80258.79094</f>
        <v>80258.790940000006</v>
      </c>
    </row>
    <row r="105" spans="1:8">
      <c r="A105" t="s">
        <v>133</v>
      </c>
      <c r="B105">
        <f>11607252.13</f>
        <v>11607252.130000001</v>
      </c>
    </row>
    <row r="106" spans="1:8">
      <c r="A106" t="s">
        <v>134</v>
      </c>
      <c r="B106">
        <f>P9</f>
        <v>100821.39147621069</v>
      </c>
    </row>
    <row r="107" spans="1:8">
      <c r="A107" t="s">
        <v>135</v>
      </c>
      <c r="B107">
        <f>O18</f>
        <v>119403.52648990157</v>
      </c>
    </row>
    <row r="108" spans="1:8">
      <c r="A108" t="s">
        <v>108</v>
      </c>
      <c r="B108">
        <f>(M31)</f>
        <v>64754.350873442854</v>
      </c>
    </row>
    <row r="109" spans="1:8">
      <c r="A109" t="s">
        <v>121</v>
      </c>
      <c r="B109">
        <f>SUM(B104:B108)</f>
        <v>11972490.189779555</v>
      </c>
    </row>
    <row r="112" spans="1:8">
      <c r="A112" s="7" t="s">
        <v>93</v>
      </c>
      <c r="B112" s="7">
        <v>100</v>
      </c>
      <c r="C112" s="7">
        <f>B67</f>
        <v>30705203.313491553</v>
      </c>
      <c r="D112" s="7">
        <f>B76</f>
        <v>23143542.863146752</v>
      </c>
      <c r="E112" s="7">
        <f>B85</f>
        <v>11536078.490772666</v>
      </c>
      <c r="F112" s="7">
        <f>B93</f>
        <v>19108923.629640825</v>
      </c>
      <c r="G112" s="7">
        <f>B101</f>
        <v>15228317.946467021</v>
      </c>
      <c r="H112" s="7">
        <f>B109</f>
        <v>11972490.189779555</v>
      </c>
    </row>
    <row r="113" spans="1:8">
      <c r="A113" s="7" t="s">
        <v>94</v>
      </c>
      <c r="B113" s="7">
        <v>47</v>
      </c>
      <c r="C113" s="7">
        <f>$C$112*(B113/$B$112)</f>
        <v>14431445.55734103</v>
      </c>
      <c r="D113" s="7">
        <f>$D$112*(B113/$B$112)</f>
        <v>10877465.145678973</v>
      </c>
      <c r="E113" s="7">
        <f>$E$112*(B113/$B$112)</f>
        <v>5421956.8906631526</v>
      </c>
      <c r="F113" s="7">
        <f>0.47*F112</f>
        <v>8981194.105931187</v>
      </c>
      <c r="G113" s="7">
        <f>0.47*G112</f>
        <v>7157309.4348395001</v>
      </c>
      <c r="H113" s="7">
        <f>0.47*H112</f>
        <v>5627070.3891963903</v>
      </c>
    </row>
    <row r="114" spans="1:8">
      <c r="A114" s="7" t="s">
        <v>95</v>
      </c>
      <c r="B114" s="7">
        <v>36</v>
      </c>
      <c r="C114" s="7">
        <f t="shared" ref="C114:C126" si="30">$C$112*(B114/$B$112)</f>
        <v>11053873.192856958</v>
      </c>
      <c r="D114" s="7">
        <f t="shared" ref="D114:D119" si="31">$D$112*(B114/$B$112)</f>
        <v>8331675.4307328304</v>
      </c>
      <c r="E114" s="7">
        <f t="shared" ref="E114:E119" si="32">$E$112*(B114/$B$112)</f>
        <v>4152988.2566781598</v>
      </c>
      <c r="F114" s="7">
        <f>0.36*F112</f>
        <v>6879212.5066706967</v>
      </c>
      <c r="G114" s="7">
        <f>0.36*G112</f>
        <v>5482194.4607281275</v>
      </c>
      <c r="H114" s="7">
        <f>0.36*H112</f>
        <v>4310096.4683206398</v>
      </c>
    </row>
    <row r="115" spans="1:8">
      <c r="A115" s="7" t="s">
        <v>96</v>
      </c>
      <c r="B115" s="7">
        <v>68</v>
      </c>
      <c r="C115" s="7">
        <f t="shared" si="30"/>
        <v>20879538.253174257</v>
      </c>
      <c r="D115" s="7">
        <f t="shared" si="31"/>
        <v>15737609.146939792</v>
      </c>
      <c r="E115" s="7">
        <f t="shared" si="32"/>
        <v>7844533.3737254133</v>
      </c>
      <c r="F115" s="7">
        <f>0.68*F112</f>
        <v>12994068.068155762</v>
      </c>
      <c r="G115" s="7">
        <f>0.36*G113</f>
        <v>2576631.3965422199</v>
      </c>
      <c r="H115" s="7">
        <f>0.36*H113</f>
        <v>2025745.3401107003</v>
      </c>
    </row>
    <row r="116" spans="1:8">
      <c r="A116" s="7" t="s">
        <v>97</v>
      </c>
      <c r="B116" s="7">
        <v>11</v>
      </c>
      <c r="C116" s="7">
        <f t="shared" si="30"/>
        <v>3377572.3644840708</v>
      </c>
      <c r="D116" s="7">
        <f t="shared" si="31"/>
        <v>2545789.7149461429</v>
      </c>
      <c r="E116" s="7">
        <f t="shared" si="32"/>
        <v>1268968.6339849932</v>
      </c>
      <c r="F116" s="7">
        <f>0.11*F112</f>
        <v>2101981.5992604909</v>
      </c>
      <c r="G116" s="7">
        <f t="shared" ref="G116:G119" si="33">0.36*G114</f>
        <v>1973590.0058621259</v>
      </c>
      <c r="H116" s="7">
        <f t="shared" ref="H116" si="34">0.36*H114</f>
        <v>1551634.7285954303</v>
      </c>
    </row>
    <row r="117" spans="1:8">
      <c r="A117" s="7" t="s">
        <v>98</v>
      </c>
      <c r="B117" s="7">
        <v>18</v>
      </c>
      <c r="C117" s="7">
        <f t="shared" si="30"/>
        <v>5526936.5964284791</v>
      </c>
      <c r="D117" s="7">
        <f t="shared" si="31"/>
        <v>4165837.7153664152</v>
      </c>
      <c r="E117" s="7">
        <f t="shared" si="32"/>
        <v>2076494.1283390799</v>
      </c>
      <c r="F117" s="7">
        <f>0.18*F112</f>
        <v>3439606.2533353483</v>
      </c>
      <c r="G117" s="7">
        <f>0.36*G115</f>
        <v>927587.30275519914</v>
      </c>
      <c r="H117" s="7">
        <f>0.36*H115</f>
        <v>729268.32243985205</v>
      </c>
    </row>
    <row r="118" spans="1:8">
      <c r="A118" s="7" t="s">
        <v>99</v>
      </c>
      <c r="B118" s="7">
        <v>10</v>
      </c>
      <c r="C118" s="7">
        <f t="shared" si="30"/>
        <v>3070520.3313491554</v>
      </c>
      <c r="D118" s="7">
        <f t="shared" si="31"/>
        <v>2314354.2863146751</v>
      </c>
      <c r="E118" s="7">
        <f t="shared" si="32"/>
        <v>1153607.8490772666</v>
      </c>
      <c r="F118" s="7">
        <f>0.1*F112</f>
        <v>1910892.3629640825</v>
      </c>
      <c r="G118" s="7">
        <f t="shared" si="33"/>
        <v>710492.40211036534</v>
      </c>
      <c r="H118" s="7">
        <f t="shared" ref="H118" si="35">0.36*H116</f>
        <v>558588.50229435484</v>
      </c>
    </row>
    <row r="119" spans="1:8">
      <c r="A119" s="7" t="s">
        <v>100</v>
      </c>
      <c r="B119" s="7">
        <v>70</v>
      </c>
      <c r="C119" s="7">
        <f t="shared" si="30"/>
        <v>21493642.319444086</v>
      </c>
      <c r="D119" s="7">
        <f t="shared" si="31"/>
        <v>16200480.004202725</v>
      </c>
      <c r="E119" s="7">
        <f t="shared" si="32"/>
        <v>8075254.9435408656</v>
      </c>
      <c r="F119" s="7">
        <f>0.7*F112</f>
        <v>13376246.540748578</v>
      </c>
      <c r="G119" s="7">
        <f t="shared" si="33"/>
        <v>333931.42899187165</v>
      </c>
      <c r="H119" s="7">
        <f t="shared" ref="H119" si="36">0.36*H117</f>
        <v>262536.59607834672</v>
      </c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 t="s">
        <v>101</v>
      </c>
      <c r="B121" s="7"/>
      <c r="C121" s="7"/>
      <c r="D121" s="7"/>
      <c r="E121" s="7"/>
      <c r="F121" s="7"/>
      <c r="G121" s="7"/>
      <c r="H121" s="7"/>
    </row>
    <row r="122" spans="1:8">
      <c r="A122" s="7" t="s">
        <v>102</v>
      </c>
      <c r="B122" s="7">
        <v>33</v>
      </c>
      <c r="C122" s="7">
        <f t="shared" si="30"/>
        <v>10132717.093452213</v>
      </c>
      <c r="D122" s="7">
        <f>$D$112*(B122/$B$112)</f>
        <v>7637369.1448384281</v>
      </c>
      <c r="E122" s="7">
        <f>$E$112*(B122/$B$112)</f>
        <v>3806905.9019549801</v>
      </c>
      <c r="F122" s="7">
        <f>0.33*F112</f>
        <v>6305944.797781473</v>
      </c>
      <c r="G122" s="7">
        <f>0.33*G112</f>
        <v>5025344.9223341169</v>
      </c>
      <c r="H122" s="7">
        <f>0.33*H112</f>
        <v>3950921.7626272533</v>
      </c>
    </row>
    <row r="123" spans="1:8">
      <c r="A123" s="7" t="s">
        <v>103</v>
      </c>
      <c r="B123" s="7">
        <v>41</v>
      </c>
      <c r="C123" s="7">
        <f t="shared" si="30"/>
        <v>12589133.358531537</v>
      </c>
      <c r="D123" s="7">
        <f t="shared" ref="D123:D126" si="37">$D$112*(B123/$B$112)</f>
        <v>9488852.5738901682</v>
      </c>
      <c r="E123" s="7">
        <f t="shared" ref="E123:E126" si="38">$E$112*(B123/$B$112)</f>
        <v>4729792.1812167931</v>
      </c>
      <c r="F123" s="7">
        <f>0.41*F112</f>
        <v>7834658.6881527379</v>
      </c>
      <c r="G123" s="7">
        <f>0.41*G112</f>
        <v>6243610.3580514789</v>
      </c>
      <c r="H123" s="7">
        <f>0.41*H112</f>
        <v>4908720.9778096173</v>
      </c>
    </row>
    <row r="124" spans="1:8">
      <c r="A124" s="7" t="s">
        <v>104</v>
      </c>
      <c r="B124" s="7">
        <v>4</v>
      </c>
      <c r="C124" s="7">
        <f t="shared" si="30"/>
        <v>1228208.1325396621</v>
      </c>
      <c r="D124" s="7">
        <f t="shared" si="37"/>
        <v>925741.71452587005</v>
      </c>
      <c r="E124" s="7">
        <f t="shared" si="38"/>
        <v>461443.13963090669</v>
      </c>
      <c r="F124" s="7">
        <f>0.04*F112</f>
        <v>764356.94518563303</v>
      </c>
      <c r="G124" s="7">
        <f>0.04*G112</f>
        <v>609132.71785868087</v>
      </c>
      <c r="H124" s="7">
        <f>0.04*H112</f>
        <v>478899.60759118223</v>
      </c>
    </row>
    <row r="125" spans="1:8">
      <c r="A125" s="7" t="s">
        <v>105</v>
      </c>
      <c r="B125" s="7">
        <v>22</v>
      </c>
      <c r="C125" s="7">
        <f t="shared" si="30"/>
        <v>6755144.7289681416</v>
      </c>
      <c r="D125" s="7">
        <f t="shared" si="37"/>
        <v>5091579.4298922857</v>
      </c>
      <c r="E125" s="7">
        <f t="shared" si="38"/>
        <v>2537937.2679699864</v>
      </c>
      <c r="F125" s="7">
        <f>0.22*F112</f>
        <v>4203963.1985209817</v>
      </c>
      <c r="G125" s="7">
        <f>0.22*G112</f>
        <v>3350229.9482227447</v>
      </c>
      <c r="H125" s="7">
        <f>0.22*H112</f>
        <v>2633947.8417515024</v>
      </c>
    </row>
    <row r="126" spans="1:8">
      <c r="A126" s="7" t="s">
        <v>106</v>
      </c>
      <c r="B126" s="7">
        <v>44</v>
      </c>
      <c r="C126" s="7">
        <f t="shared" si="30"/>
        <v>13510289.457936283</v>
      </c>
      <c r="D126" s="7">
        <f t="shared" si="37"/>
        <v>10183158.859784571</v>
      </c>
      <c r="E126" s="7">
        <f t="shared" si="38"/>
        <v>5075874.5359399728</v>
      </c>
      <c r="F126" s="7">
        <f>0.44*F112</f>
        <v>8407926.3970419634</v>
      </c>
      <c r="G126" s="7">
        <f>0.44*G112</f>
        <v>6700459.8964454895</v>
      </c>
      <c r="H126" s="7">
        <f>0.44*H112</f>
        <v>5267895.6835030047</v>
      </c>
    </row>
    <row r="127" spans="1:8" s="9" customFormat="1">
      <c r="A127" s="9" t="s">
        <v>110</v>
      </c>
      <c r="C127" s="9">
        <f>SUM(C112:C126)</f>
        <v>154754224.69999745</v>
      </c>
      <c r="D127" s="9">
        <f t="shared" ref="D127:E127" si="39">SUM(D112:D126)</f>
        <v>116643456.03025962</v>
      </c>
      <c r="E127" s="9">
        <f t="shared" si="39"/>
        <v>58141835.593494236</v>
      </c>
      <c r="F127" s="9">
        <f>SUM(F112:F126)</f>
        <v>96308975.093389764</v>
      </c>
      <c r="G127" s="9">
        <f>SUM(G112:G126)</f>
        <v>56318832.221208937</v>
      </c>
      <c r="H127" s="9">
        <f>SUM(H112:H126)</f>
        <v>44277816.410097823</v>
      </c>
    </row>
    <row r="128" spans="1:8" s="9" customFormat="1">
      <c r="A128" s="9" t="s">
        <v>111</v>
      </c>
      <c r="B128" s="9" t="s">
        <v>109</v>
      </c>
      <c r="C128" s="9">
        <f t="shared" ref="C128:H128" si="40">0.03*C127</f>
        <v>4642626.7409999231</v>
      </c>
      <c r="D128" s="9">
        <f t="shared" si="40"/>
        <v>3499303.6809077887</v>
      </c>
      <c r="E128" s="9">
        <f t="shared" si="40"/>
        <v>1744255.0678048271</v>
      </c>
      <c r="F128" s="9">
        <f t="shared" si="40"/>
        <v>2889269.252801693</v>
      </c>
      <c r="G128" s="9">
        <f t="shared" si="40"/>
        <v>1689564.966636268</v>
      </c>
      <c r="H128" s="9">
        <f t="shared" si="40"/>
        <v>1328334.4923029346</v>
      </c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 s="8" customFormat="1">
      <c r="A130" s="8" t="s">
        <v>112</v>
      </c>
      <c r="B130" s="8" t="s">
        <v>113</v>
      </c>
      <c r="C130" s="8">
        <f>(C127+C128)</f>
        <v>159396851.44099739</v>
      </c>
      <c r="D130" s="8">
        <f>(D127+D128)</f>
        <v>120142759.71116741</v>
      </c>
      <c r="E130" s="8">
        <f>(E127+E128)</f>
        <v>59886090.661299065</v>
      </c>
      <c r="F130" s="8">
        <f>F127+F128</f>
        <v>99198244.346191451</v>
      </c>
      <c r="G130" s="8">
        <f>G127+G128</f>
        <v>58008397.187845208</v>
      </c>
      <c r="H130" s="8">
        <f>H127+H128</f>
        <v>45606150.902400754</v>
      </c>
    </row>
  </sheetData>
  <phoneticPr fontId="1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1"/>
    </sheetView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shengjj07</dc:creator>
  <cp:lastModifiedBy>Feby</cp:lastModifiedBy>
  <dcterms:created xsi:type="dcterms:W3CDTF">2010-10-22T19:43:09Z</dcterms:created>
  <dcterms:modified xsi:type="dcterms:W3CDTF">2010-11-19T12:16:07Z</dcterms:modified>
</cp:coreProperties>
</file>